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xipl-my.sharepoint.com/personal/prabir_sahoo_xceedance_com/Documents/Mis/Prem Cal/"/>
    </mc:Choice>
  </mc:AlternateContent>
  <xr:revisionPtr revIDLastSave="70" documentId="13_ncr:1_{C347AD30-8E93-4EB1-B535-D9A7391673CF}" xr6:coauthVersionLast="47" xr6:coauthVersionMax="47" xr10:uidLastSave="{617905E9-A8D5-4B57-BCBA-71E212164ACA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  <sheet name="Sheet4" sheetId="4" r:id="rId6"/>
  </sheets>
  <externalReferences>
    <externalReference r:id="rId7"/>
    <externalReference r:id="rId8"/>
  </externalReferences>
  <definedNames>
    <definedName name="Tax_ESL_C">[1]Tax_Relativities!$D$3:$E$11</definedName>
    <definedName name="Tax_GST">[1]Tax_Relativities!$G$3:$H$11</definedName>
    <definedName name="Tax_Ins_SD">[1]Tax_Relativities!$J$3:$K$11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B9" i="1" l="1"/>
  <c r="C19" i="1" l="1"/>
  <c r="K23" i="6" l="1"/>
  <c r="C23" i="6"/>
  <c r="L23" i="6" s="1"/>
  <c r="B23" i="6"/>
  <c r="K22" i="6"/>
  <c r="C22" i="6"/>
  <c r="L22" i="6" s="1"/>
  <c r="B22" i="6"/>
  <c r="J22" i="6" s="1"/>
  <c r="K21" i="6"/>
  <c r="C21" i="6"/>
  <c r="L21" i="6" s="1"/>
  <c r="B21" i="6"/>
  <c r="K20" i="6"/>
  <c r="C20" i="6"/>
  <c r="J20" i="6" s="1"/>
  <c r="B20" i="6"/>
  <c r="K19" i="6"/>
  <c r="C19" i="6"/>
  <c r="J19" i="6" s="1"/>
  <c r="B19" i="6"/>
  <c r="L18" i="6"/>
  <c r="K18" i="6"/>
  <c r="C18" i="6"/>
  <c r="J18" i="6" s="1"/>
  <c r="B18" i="6"/>
  <c r="K17" i="6"/>
  <c r="C17" i="6"/>
  <c r="L17" i="6" s="1"/>
  <c r="B17" i="6"/>
  <c r="J17" i="6" s="1"/>
  <c r="AO14" i="6"/>
  <c r="AQ14" i="6" s="1"/>
  <c r="AM14" i="6"/>
  <c r="AS14" i="6" s="1"/>
  <c r="AL14" i="6"/>
  <c r="AB14" i="6"/>
  <c r="K14" i="6"/>
  <c r="M14" i="6" s="1"/>
  <c r="C14" i="6"/>
  <c r="L14" i="6" s="1"/>
  <c r="B14" i="6"/>
  <c r="AM13" i="6"/>
  <c r="AL13" i="6"/>
  <c r="AB13" i="6"/>
  <c r="O13" i="6"/>
  <c r="K13" i="6"/>
  <c r="M13" i="6" s="1"/>
  <c r="C13" i="6"/>
  <c r="L13" i="6" s="1"/>
  <c r="B13" i="6"/>
  <c r="AM12" i="6"/>
  <c r="AL12" i="6"/>
  <c r="AB12" i="6"/>
  <c r="N12" i="6"/>
  <c r="L12" i="6"/>
  <c r="P12" i="6" s="1"/>
  <c r="K12" i="6"/>
  <c r="O12" i="6" s="1"/>
  <c r="C12" i="6"/>
  <c r="B12" i="6"/>
  <c r="J12" i="6" s="1"/>
  <c r="AO11" i="6"/>
  <c r="AQ11" i="6" s="1"/>
  <c r="AM11" i="6"/>
  <c r="AL11" i="6"/>
  <c r="AB11" i="6"/>
  <c r="M11" i="6"/>
  <c r="K11" i="6"/>
  <c r="O11" i="6" s="1"/>
  <c r="J11" i="6"/>
  <c r="H11" i="6" s="1"/>
  <c r="F11" i="6"/>
  <c r="M20" i="6" s="1"/>
  <c r="C11" i="6"/>
  <c r="L11" i="6" s="1"/>
  <c r="B11" i="6"/>
  <c r="AS10" i="6"/>
  <c r="AP10" i="6" s="1"/>
  <c r="AM10" i="6"/>
  <c r="AO10" i="6" s="1"/>
  <c r="AQ10" i="6" s="1"/>
  <c r="AL10" i="6"/>
  <c r="AC10" i="6"/>
  <c r="AB10" i="6"/>
  <c r="O10" i="6"/>
  <c r="L10" i="6"/>
  <c r="P10" i="6" s="1"/>
  <c r="K10" i="6"/>
  <c r="M10" i="6" s="1"/>
  <c r="C10" i="6"/>
  <c r="J10" i="6" s="1"/>
  <c r="B10" i="6"/>
  <c r="AS9" i="6"/>
  <c r="AP9" i="6" s="1"/>
  <c r="AM9" i="6"/>
  <c r="AO9" i="6" s="1"/>
  <c r="AQ9" i="6" s="1"/>
  <c r="AL9" i="6"/>
  <c r="AC9" i="6"/>
  <c r="AB9" i="6"/>
  <c r="L9" i="6"/>
  <c r="P9" i="6" s="1"/>
  <c r="C9" i="6"/>
  <c r="J9" i="6" s="1"/>
  <c r="B9" i="6"/>
  <c r="AM8" i="6"/>
  <c r="AO8" i="6" s="1"/>
  <c r="AQ8" i="6" s="1"/>
  <c r="AL8" i="6"/>
  <c r="X8" i="6"/>
  <c r="Z8" i="6" s="1"/>
  <c r="J8" i="6"/>
  <c r="S8" i="6" s="1"/>
  <c r="D8" i="6"/>
  <c r="K9" i="6" s="1"/>
  <c r="L5" i="6"/>
  <c r="K5" i="6"/>
  <c r="AC13" i="6" s="1"/>
  <c r="J5" i="6"/>
  <c r="AS13" i="6" s="1"/>
  <c r="AP13" i="6" s="1"/>
  <c r="K23" i="5"/>
  <c r="C23" i="5"/>
  <c r="L23" i="5" s="1"/>
  <c r="B23" i="5"/>
  <c r="K22" i="5"/>
  <c r="C22" i="5"/>
  <c r="L22" i="5" s="1"/>
  <c r="B22" i="5"/>
  <c r="L21" i="5"/>
  <c r="K21" i="5"/>
  <c r="C21" i="5"/>
  <c r="B21" i="5"/>
  <c r="L20" i="5"/>
  <c r="K20" i="5"/>
  <c r="C20" i="5"/>
  <c r="B20" i="5"/>
  <c r="J20" i="5" s="1"/>
  <c r="K19" i="5"/>
  <c r="C19" i="5"/>
  <c r="B19" i="5"/>
  <c r="K18" i="5"/>
  <c r="C18" i="5"/>
  <c r="L18" i="5" s="1"/>
  <c r="B18" i="5"/>
  <c r="J18" i="5" s="1"/>
  <c r="C17" i="5"/>
  <c r="L17" i="5" s="1"/>
  <c r="B17" i="5"/>
  <c r="AM14" i="5"/>
  <c r="AS14" i="5" s="1"/>
  <c r="AL14" i="5"/>
  <c r="AC14" i="5"/>
  <c r="AB14" i="5"/>
  <c r="N14" i="5"/>
  <c r="M14" i="5"/>
  <c r="L14" i="5"/>
  <c r="P14" i="5" s="1"/>
  <c r="K14" i="5"/>
  <c r="O14" i="5" s="1"/>
  <c r="C14" i="5"/>
  <c r="B14" i="5"/>
  <c r="J14" i="5" s="1"/>
  <c r="AS13" i="5"/>
  <c r="AP13" i="5" s="1"/>
  <c r="AO13" i="5"/>
  <c r="AQ13" i="5" s="1"/>
  <c r="AM13" i="5"/>
  <c r="AL13" i="5"/>
  <c r="AC13" i="5"/>
  <c r="AB13" i="5"/>
  <c r="M13" i="5"/>
  <c r="L13" i="5"/>
  <c r="K13" i="5"/>
  <c r="O13" i="5" s="1"/>
  <c r="C13" i="5"/>
  <c r="B13" i="5"/>
  <c r="AS12" i="5"/>
  <c r="AM12" i="5"/>
  <c r="AP12" i="5" s="1"/>
  <c r="AL12" i="5"/>
  <c r="AC12" i="5"/>
  <c r="AB12" i="5"/>
  <c r="L12" i="5"/>
  <c r="K12" i="5"/>
  <c r="J12" i="5"/>
  <c r="H12" i="5" s="1"/>
  <c r="C12" i="5"/>
  <c r="B12" i="5"/>
  <c r="AM11" i="5"/>
  <c r="AO11" i="5" s="1"/>
  <c r="AQ11" i="5" s="1"/>
  <c r="AL11" i="5"/>
  <c r="AB11" i="5"/>
  <c r="K11" i="5"/>
  <c r="C11" i="5"/>
  <c r="L11" i="5" s="1"/>
  <c r="B11" i="5"/>
  <c r="J11" i="5" s="1"/>
  <c r="AS10" i="5"/>
  <c r="AQ10" i="5"/>
  <c r="AP10" i="5"/>
  <c r="AO10" i="5"/>
  <c r="AM10" i="5"/>
  <c r="AL10" i="5"/>
  <c r="AC10" i="5"/>
  <c r="AB10" i="5"/>
  <c r="P10" i="5"/>
  <c r="M10" i="5"/>
  <c r="L10" i="5"/>
  <c r="N10" i="5" s="1"/>
  <c r="K10" i="5"/>
  <c r="O10" i="5" s="1"/>
  <c r="C10" i="5"/>
  <c r="B10" i="5"/>
  <c r="J10" i="5" s="1"/>
  <c r="AS9" i="5"/>
  <c r="AP9" i="5" s="1"/>
  <c r="AO9" i="5"/>
  <c r="AQ9" i="5" s="1"/>
  <c r="AM9" i="5"/>
  <c r="AL9" i="5"/>
  <c r="AC9" i="5"/>
  <c r="AB9" i="5"/>
  <c r="L9" i="5"/>
  <c r="N9" i="5" s="1"/>
  <c r="J9" i="5"/>
  <c r="F9" i="5" s="1"/>
  <c r="C9" i="5"/>
  <c r="B9" i="5"/>
  <c r="AS8" i="5"/>
  <c r="AP8" i="5"/>
  <c r="AO8" i="5"/>
  <c r="AQ8" i="5" s="1"/>
  <c r="AM8" i="5"/>
  <c r="AL8" i="5"/>
  <c r="Z8" i="5"/>
  <c r="X8" i="5"/>
  <c r="J8" i="5"/>
  <c r="F8" i="5" s="1"/>
  <c r="D8" i="5"/>
  <c r="L5" i="5"/>
  <c r="K5" i="5"/>
  <c r="AC11" i="5" s="1"/>
  <c r="J5" i="5"/>
  <c r="AF27" i="3"/>
  <c r="AS3" i="2"/>
  <c r="AR3" i="2"/>
  <c r="AQ3" i="2"/>
  <c r="AP3" i="2"/>
  <c r="AO3" i="2"/>
  <c r="AN3" i="2"/>
  <c r="AM3" i="2"/>
  <c r="AL3" i="2"/>
  <c r="AK27" i="3"/>
  <c r="AJ27" i="3"/>
  <c r="AI27" i="3"/>
  <c r="AH27" i="3"/>
  <c r="AG27" i="3"/>
  <c r="AE27" i="3"/>
  <c r="AD27" i="3"/>
  <c r="F10" i="5" l="1"/>
  <c r="M19" i="5" s="1"/>
  <c r="H10" i="5"/>
  <c r="H9" i="5"/>
  <c r="P18" i="5" s="1"/>
  <c r="J13" i="5"/>
  <c r="S12" i="5"/>
  <c r="J19" i="5"/>
  <c r="J21" i="5"/>
  <c r="O21" i="5" s="1"/>
  <c r="AN13" i="6"/>
  <c r="V13" i="6" s="1"/>
  <c r="H9" i="6"/>
  <c r="F9" i="6"/>
  <c r="H10" i="6"/>
  <c r="F10" i="6"/>
  <c r="O9" i="6"/>
  <c r="M9" i="6"/>
  <c r="Q12" i="6" s="1"/>
  <c r="P11" i="6"/>
  <c r="R11" i="6" s="1"/>
  <c r="N11" i="6"/>
  <c r="S9" i="6"/>
  <c r="S12" i="6"/>
  <c r="H12" i="6"/>
  <c r="F12" i="6"/>
  <c r="P14" i="6"/>
  <c r="R14" i="6" s="1"/>
  <c r="N14" i="6"/>
  <c r="AR13" i="6"/>
  <c r="O20" i="6"/>
  <c r="P13" i="6"/>
  <c r="N13" i="6"/>
  <c r="AN9" i="6"/>
  <c r="V9" i="6" s="1"/>
  <c r="AR9" i="6"/>
  <c r="F8" i="6"/>
  <c r="AP8" i="6"/>
  <c r="AR8" i="6" s="1"/>
  <c r="S11" i="6"/>
  <c r="AC12" i="6"/>
  <c r="AS12" i="6"/>
  <c r="AP12" i="6" s="1"/>
  <c r="L20" i="6"/>
  <c r="N20" i="6" s="1"/>
  <c r="H8" i="6"/>
  <c r="AR10" i="6"/>
  <c r="AN10" i="6" s="1"/>
  <c r="V10" i="6" s="1"/>
  <c r="AC11" i="6"/>
  <c r="AS11" i="6"/>
  <c r="AP11" i="6" s="1"/>
  <c r="M12" i="6"/>
  <c r="O14" i="6"/>
  <c r="L19" i="6"/>
  <c r="AS8" i="6"/>
  <c r="AO13" i="6"/>
  <c r="AQ13" i="6" s="1"/>
  <c r="AP14" i="6"/>
  <c r="J23" i="6"/>
  <c r="N9" i="6"/>
  <c r="N10" i="6"/>
  <c r="AO12" i="6"/>
  <c r="AQ12" i="6" s="1"/>
  <c r="J14" i="6"/>
  <c r="J13" i="6"/>
  <c r="AR14" i="6"/>
  <c r="J21" i="6"/>
  <c r="AC14" i="6"/>
  <c r="AN8" i="5"/>
  <c r="V8" i="5" s="1"/>
  <c r="AR8" i="5"/>
  <c r="N18" i="5"/>
  <c r="M18" i="5"/>
  <c r="P21" i="5"/>
  <c r="O11" i="5"/>
  <c r="M11" i="5"/>
  <c r="O12" i="5"/>
  <c r="M12" i="5"/>
  <c r="AN12" i="5"/>
  <c r="V12" i="5" s="1"/>
  <c r="H11" i="5"/>
  <c r="F11" i="5"/>
  <c r="S13" i="5"/>
  <c r="F13" i="5"/>
  <c r="H13" i="5"/>
  <c r="O18" i="5"/>
  <c r="K17" i="5"/>
  <c r="K9" i="5"/>
  <c r="P12" i="5"/>
  <c r="N12" i="5"/>
  <c r="P13" i="5"/>
  <c r="N13" i="5"/>
  <c r="Q8" i="5"/>
  <c r="AT8" i="5" s="1"/>
  <c r="S11" i="5"/>
  <c r="AR12" i="5"/>
  <c r="S8" i="5"/>
  <c r="H8" i="5"/>
  <c r="P9" i="5"/>
  <c r="AR13" i="5"/>
  <c r="AN13" i="5"/>
  <c r="V13" i="5" s="1"/>
  <c r="P19" i="5"/>
  <c r="O19" i="5"/>
  <c r="S14" i="5"/>
  <c r="H14" i="5"/>
  <c r="F14" i="5"/>
  <c r="P11" i="5"/>
  <c r="N11" i="5"/>
  <c r="AR9" i="5"/>
  <c r="AN9" i="5" s="1"/>
  <c r="V9" i="5" s="1"/>
  <c r="AR10" i="5"/>
  <c r="AN10" i="5" s="1"/>
  <c r="V10" i="5" s="1"/>
  <c r="AS11" i="5"/>
  <c r="AP11" i="5" s="1"/>
  <c r="AR11" i="5" s="1"/>
  <c r="J17" i="5"/>
  <c r="M17" i="5" s="1"/>
  <c r="Q17" i="5" s="1"/>
  <c r="L19" i="5"/>
  <c r="AO14" i="5"/>
  <c r="AQ14" i="5" s="1"/>
  <c r="AP14" i="5"/>
  <c r="J23" i="5"/>
  <c r="AN11" i="5"/>
  <c r="V11" i="5" s="1"/>
  <c r="F12" i="5"/>
  <c r="AO12" i="5"/>
  <c r="AQ12" i="5" s="1"/>
  <c r="J22" i="5"/>
  <c r="BE17" i="4"/>
  <c r="K23" i="3"/>
  <c r="C23" i="3"/>
  <c r="L23" i="3" s="1"/>
  <c r="B23" i="3"/>
  <c r="K22" i="3"/>
  <c r="C22" i="3"/>
  <c r="L22" i="3" s="1"/>
  <c r="B22" i="3"/>
  <c r="K21" i="3"/>
  <c r="C21" i="3"/>
  <c r="L21" i="3" s="1"/>
  <c r="B21" i="3"/>
  <c r="K20" i="3"/>
  <c r="C20" i="3"/>
  <c r="L20" i="3" s="1"/>
  <c r="B20" i="3"/>
  <c r="K19" i="3"/>
  <c r="C19" i="3"/>
  <c r="B19" i="3"/>
  <c r="K18" i="3"/>
  <c r="C18" i="3"/>
  <c r="L18" i="3" s="1"/>
  <c r="B18" i="3"/>
  <c r="C17" i="3"/>
  <c r="L17" i="3" s="1"/>
  <c r="B17" i="3"/>
  <c r="AM14" i="3"/>
  <c r="AS14" i="3" s="1"/>
  <c r="AL14" i="3"/>
  <c r="AC14" i="3"/>
  <c r="AB14" i="3"/>
  <c r="O14" i="3"/>
  <c r="M14" i="3"/>
  <c r="L14" i="3"/>
  <c r="P14" i="3" s="1"/>
  <c r="K14" i="3"/>
  <c r="C14" i="3"/>
  <c r="B14" i="3"/>
  <c r="J14" i="3" s="1"/>
  <c r="AM13" i="3"/>
  <c r="AO13" i="3" s="1"/>
  <c r="AQ13" i="3" s="1"/>
  <c r="AL13" i="3"/>
  <c r="AB13" i="3"/>
  <c r="M13" i="3"/>
  <c r="K13" i="3"/>
  <c r="O13" i="3" s="1"/>
  <c r="C13" i="3"/>
  <c r="L13" i="3" s="1"/>
  <c r="B13" i="3"/>
  <c r="AM12" i="3"/>
  <c r="AL12" i="3"/>
  <c r="AC12" i="3"/>
  <c r="AB12" i="3"/>
  <c r="K12" i="3"/>
  <c r="O12" i="3" s="1"/>
  <c r="C12" i="3"/>
  <c r="L12" i="3" s="1"/>
  <c r="P12" i="3" s="1"/>
  <c r="B12" i="3"/>
  <c r="AM11" i="3"/>
  <c r="AO11" i="3" s="1"/>
  <c r="AQ11" i="3" s="1"/>
  <c r="AL11" i="3"/>
  <c r="AB11" i="3"/>
  <c r="K11" i="3"/>
  <c r="O11" i="3" s="1"/>
  <c r="C11" i="3"/>
  <c r="L11" i="3" s="1"/>
  <c r="B11" i="3"/>
  <c r="AS10" i="3"/>
  <c r="AP10" i="3" s="1"/>
  <c r="AQ10" i="3"/>
  <c r="AO10" i="3"/>
  <c r="AM10" i="3"/>
  <c r="AL10" i="3"/>
  <c r="AC10" i="3"/>
  <c r="AB10" i="3"/>
  <c r="K10" i="3"/>
  <c r="O10" i="3" s="1"/>
  <c r="C10" i="3"/>
  <c r="L10" i="3" s="1"/>
  <c r="B10" i="3"/>
  <c r="AQ9" i="3"/>
  <c r="AO9" i="3"/>
  <c r="AM9" i="3"/>
  <c r="AL9" i="3"/>
  <c r="AC9" i="3"/>
  <c r="AB9" i="3"/>
  <c r="C9" i="3"/>
  <c r="L9" i="3" s="1"/>
  <c r="B9" i="3"/>
  <c r="AM8" i="3"/>
  <c r="AS8" i="3" s="1"/>
  <c r="AP8" i="3" s="1"/>
  <c r="AL8" i="3"/>
  <c r="X8" i="3"/>
  <c r="Z8" i="3" s="1"/>
  <c r="J8" i="3"/>
  <c r="S8" i="3" s="1"/>
  <c r="D8" i="3"/>
  <c r="K17" i="3" s="1"/>
  <c r="L5" i="3"/>
  <c r="K5" i="3"/>
  <c r="AC13" i="3" s="1"/>
  <c r="J5" i="3"/>
  <c r="AS13" i="3" s="1"/>
  <c r="AP13" i="3" s="1"/>
  <c r="K23" i="2"/>
  <c r="C23" i="2"/>
  <c r="L23" i="2" s="1"/>
  <c r="B23" i="2"/>
  <c r="K22" i="2"/>
  <c r="C22" i="2"/>
  <c r="L22" i="2" s="1"/>
  <c r="B22" i="2"/>
  <c r="K21" i="2"/>
  <c r="C21" i="2"/>
  <c r="L21" i="2" s="1"/>
  <c r="B21" i="2"/>
  <c r="L20" i="2"/>
  <c r="K20" i="2"/>
  <c r="C20" i="2"/>
  <c r="B20" i="2"/>
  <c r="K19" i="2"/>
  <c r="C19" i="2"/>
  <c r="L19" i="2" s="1"/>
  <c r="B19" i="2"/>
  <c r="K18" i="2"/>
  <c r="C18" i="2"/>
  <c r="L18" i="2" s="1"/>
  <c r="B18" i="2"/>
  <c r="J18" i="2" s="1"/>
  <c r="C17" i="2"/>
  <c r="L17" i="2" s="1"/>
  <c r="B17" i="2"/>
  <c r="AM14" i="2"/>
  <c r="AS14" i="2" s="1"/>
  <c r="AL14" i="2"/>
  <c r="AB14" i="2"/>
  <c r="K14" i="2"/>
  <c r="M14" i="2" s="1"/>
  <c r="C14" i="2"/>
  <c r="L14" i="2" s="1"/>
  <c r="B14" i="2"/>
  <c r="AM13" i="2"/>
  <c r="AS13" i="2" s="1"/>
  <c r="AL13" i="2"/>
  <c r="AB13" i="2"/>
  <c r="M13" i="2"/>
  <c r="K13" i="2"/>
  <c r="O13" i="2" s="1"/>
  <c r="C13" i="2"/>
  <c r="L13" i="2" s="1"/>
  <c r="B13" i="2"/>
  <c r="J13" i="2" s="1"/>
  <c r="S13" i="2" s="1"/>
  <c r="AS12" i="2"/>
  <c r="AP12" i="2" s="1"/>
  <c r="AM12" i="2"/>
  <c r="AL12" i="2"/>
  <c r="AC12" i="2"/>
  <c r="AB12" i="2"/>
  <c r="M12" i="2"/>
  <c r="K12" i="2"/>
  <c r="O12" i="2" s="1"/>
  <c r="C12" i="2"/>
  <c r="L12" i="2" s="1"/>
  <c r="P12" i="2" s="1"/>
  <c r="B12" i="2"/>
  <c r="AO11" i="2"/>
  <c r="AQ11" i="2" s="1"/>
  <c r="AM11" i="2"/>
  <c r="AL11" i="2"/>
  <c r="AB11" i="2"/>
  <c r="K11" i="2"/>
  <c r="O11" i="2" s="1"/>
  <c r="C11" i="2"/>
  <c r="J11" i="2" s="1"/>
  <c r="B11" i="2"/>
  <c r="AQ10" i="2"/>
  <c r="AO10" i="2"/>
  <c r="AM10" i="2"/>
  <c r="AL10" i="2"/>
  <c r="AB10" i="2"/>
  <c r="K10" i="2"/>
  <c r="M10" i="2" s="1"/>
  <c r="C10" i="2"/>
  <c r="L10" i="2" s="1"/>
  <c r="B10" i="2"/>
  <c r="AM9" i="2"/>
  <c r="AO9" i="2" s="1"/>
  <c r="AQ9" i="2" s="1"/>
  <c r="AL9" i="2"/>
  <c r="AB9" i="2"/>
  <c r="C9" i="2"/>
  <c r="L9" i="2" s="1"/>
  <c r="B9" i="2"/>
  <c r="AM8" i="2"/>
  <c r="AO8" i="2" s="1"/>
  <c r="AQ8" i="2" s="1"/>
  <c r="AL8" i="2"/>
  <c r="X8" i="2"/>
  <c r="Z8" i="2" s="1"/>
  <c r="J8" i="2"/>
  <c r="S8" i="2" s="1"/>
  <c r="D8" i="2"/>
  <c r="K17" i="2" s="1"/>
  <c r="L5" i="2"/>
  <c r="K5" i="2"/>
  <c r="AC13" i="2" s="1"/>
  <c r="J5" i="2"/>
  <c r="AS10" i="2" s="1"/>
  <c r="AP10" i="2" s="1"/>
  <c r="R13" i="6" l="1"/>
  <c r="N17" i="5"/>
  <c r="N19" i="5"/>
  <c r="AR12" i="6"/>
  <c r="AN12" i="6" s="1"/>
  <c r="V12" i="6" s="1"/>
  <c r="AT12" i="6"/>
  <c r="Q10" i="6"/>
  <c r="Q13" i="6"/>
  <c r="P21" i="6"/>
  <c r="O21" i="6"/>
  <c r="R21" i="6" s="1"/>
  <c r="R20" i="6"/>
  <c r="R18" i="6"/>
  <c r="R9" i="6"/>
  <c r="AN8" i="6"/>
  <c r="V8" i="6" s="1"/>
  <c r="AU13" i="6"/>
  <c r="AR11" i="6"/>
  <c r="AN11" i="6" s="1"/>
  <c r="V11" i="6" s="1"/>
  <c r="N19" i="6"/>
  <c r="M19" i="6"/>
  <c r="Q19" i="6" s="1"/>
  <c r="AN14" i="6"/>
  <c r="V14" i="6" s="1"/>
  <c r="N17" i="6"/>
  <c r="M17" i="6"/>
  <c r="Q17" i="6" s="1"/>
  <c r="Q8" i="6"/>
  <c r="AT8" i="6" s="1"/>
  <c r="P20" i="6"/>
  <c r="R10" i="6"/>
  <c r="P19" i="6"/>
  <c r="O19" i="6"/>
  <c r="R19" i="6" s="1"/>
  <c r="S10" i="6"/>
  <c r="T10" i="6" s="1"/>
  <c r="T11" i="6" s="1"/>
  <c r="T12" i="6" s="1"/>
  <c r="T13" i="6" s="1"/>
  <c r="T14" i="6" s="1"/>
  <c r="T9" i="6"/>
  <c r="S13" i="6"/>
  <c r="H13" i="6"/>
  <c r="F13" i="6"/>
  <c r="R12" i="6"/>
  <c r="N18" i="6"/>
  <c r="M18" i="6"/>
  <c r="P17" i="6"/>
  <c r="O17" i="6"/>
  <c r="R17" i="6" s="1"/>
  <c r="R8" i="6"/>
  <c r="Q14" i="6"/>
  <c r="Q11" i="6"/>
  <c r="AD12" i="6" s="1"/>
  <c r="P18" i="6"/>
  <c r="O18" i="6"/>
  <c r="S14" i="6"/>
  <c r="F14" i="6"/>
  <c r="H14" i="6"/>
  <c r="U14" i="6"/>
  <c r="AE14" i="6" s="1"/>
  <c r="AU14" i="6"/>
  <c r="U11" i="6"/>
  <c r="AE11" i="6" s="1"/>
  <c r="AU11" i="6"/>
  <c r="N21" i="6"/>
  <c r="M21" i="6"/>
  <c r="Q21" i="6" s="1"/>
  <c r="Q18" i="6"/>
  <c r="Q9" i="6"/>
  <c r="Q20" i="6"/>
  <c r="O9" i="5"/>
  <c r="M9" i="5"/>
  <c r="Q13" i="5" s="1"/>
  <c r="AR14" i="5"/>
  <c r="AN14" i="5" s="1"/>
  <c r="V14" i="5" s="1"/>
  <c r="N23" i="5"/>
  <c r="M23" i="5"/>
  <c r="P17" i="5"/>
  <c r="O17" i="5"/>
  <c r="R17" i="5" s="1"/>
  <c r="R8" i="5"/>
  <c r="P22" i="5"/>
  <c r="O22" i="5"/>
  <c r="P23" i="5"/>
  <c r="O23" i="5"/>
  <c r="S9" i="5"/>
  <c r="M22" i="5"/>
  <c r="N22" i="5"/>
  <c r="AT17" i="5"/>
  <c r="AD17" i="5"/>
  <c r="AD27" i="5" s="1"/>
  <c r="Q11" i="5"/>
  <c r="N21" i="5"/>
  <c r="M21" i="5"/>
  <c r="N20" i="5"/>
  <c r="M20" i="5"/>
  <c r="P20" i="5"/>
  <c r="O20" i="5"/>
  <c r="J20" i="3"/>
  <c r="J18" i="3"/>
  <c r="O10" i="2"/>
  <c r="F8" i="2"/>
  <c r="L11" i="2"/>
  <c r="N11" i="2" s="1"/>
  <c r="J19" i="2"/>
  <c r="K9" i="2"/>
  <c r="M9" i="2" s="1"/>
  <c r="AS12" i="3"/>
  <c r="AP12" i="3" s="1"/>
  <c r="AR12" i="3" s="1"/>
  <c r="AS9" i="3"/>
  <c r="AP9" i="3" s="1"/>
  <c r="AR9" i="3" s="1"/>
  <c r="AN9" i="3" s="1"/>
  <c r="V9" i="3" s="1"/>
  <c r="AO8" i="3"/>
  <c r="AQ8" i="3" s="1"/>
  <c r="F8" i="3"/>
  <c r="Q8" i="3" s="1"/>
  <c r="AT8" i="3" s="1"/>
  <c r="J12" i="3"/>
  <c r="S12" i="3" s="1"/>
  <c r="N9" i="3"/>
  <c r="P9" i="3"/>
  <c r="N10" i="3"/>
  <c r="P10" i="3"/>
  <c r="J10" i="3"/>
  <c r="H10" i="3" s="1"/>
  <c r="J19" i="3"/>
  <c r="N14" i="3"/>
  <c r="J22" i="3"/>
  <c r="J9" i="3"/>
  <c r="H9" i="3" s="1"/>
  <c r="S9" i="3"/>
  <c r="T9" i="3" s="1"/>
  <c r="J11" i="3"/>
  <c r="H11" i="2"/>
  <c r="F11" i="2"/>
  <c r="S11" i="2"/>
  <c r="H8" i="2"/>
  <c r="R8" i="2" s="1"/>
  <c r="J9" i="2"/>
  <c r="H9" i="2" s="1"/>
  <c r="P18" i="2" s="1"/>
  <c r="P11" i="2"/>
  <c r="J22" i="2"/>
  <c r="J10" i="2"/>
  <c r="H10" i="2" s="1"/>
  <c r="P19" i="2" s="1"/>
  <c r="J20" i="2"/>
  <c r="J12" i="2"/>
  <c r="S12" i="2" s="1"/>
  <c r="P13" i="3"/>
  <c r="N13" i="3"/>
  <c r="AR13" i="3"/>
  <c r="AN13" i="3" s="1"/>
  <c r="V13" i="3" s="1"/>
  <c r="AR8" i="3"/>
  <c r="AN8" i="3" s="1"/>
  <c r="V8" i="3" s="1"/>
  <c r="P11" i="3"/>
  <c r="N11" i="3"/>
  <c r="S14" i="3"/>
  <c r="H14" i="3"/>
  <c r="F14" i="3"/>
  <c r="H8" i="3"/>
  <c r="K9" i="3"/>
  <c r="AR10" i="3"/>
  <c r="AN10" i="3" s="1"/>
  <c r="V10" i="3" s="1"/>
  <c r="AC11" i="3"/>
  <c r="AS11" i="3"/>
  <c r="AP11" i="3" s="1"/>
  <c r="M12" i="3"/>
  <c r="J17" i="3"/>
  <c r="L19" i="3"/>
  <c r="AO14" i="3"/>
  <c r="AQ14" i="3" s="1"/>
  <c r="M11" i="3"/>
  <c r="N12" i="3"/>
  <c r="M10" i="3"/>
  <c r="AP14" i="3"/>
  <c r="J23" i="3"/>
  <c r="AO12" i="3"/>
  <c r="AQ12" i="3" s="1"/>
  <c r="J13" i="3"/>
  <c r="J21" i="3"/>
  <c r="F12" i="2"/>
  <c r="AR12" i="2"/>
  <c r="P9" i="2"/>
  <c r="S9" i="2" s="1"/>
  <c r="N9" i="2"/>
  <c r="P10" i="2"/>
  <c r="N10" i="2"/>
  <c r="P13" i="2"/>
  <c r="N13" i="2"/>
  <c r="N14" i="2"/>
  <c r="P14" i="2"/>
  <c r="AN10" i="2"/>
  <c r="V10" i="2" s="1"/>
  <c r="AR10" i="2"/>
  <c r="AC11" i="2"/>
  <c r="AS11" i="2"/>
  <c r="AP11" i="2" s="1"/>
  <c r="AR11" i="2" s="1"/>
  <c r="O14" i="2"/>
  <c r="J17" i="2"/>
  <c r="N17" i="2" s="1"/>
  <c r="AC9" i="2"/>
  <c r="AS9" i="2"/>
  <c r="AP9" i="2" s="1"/>
  <c r="AC10" i="2"/>
  <c r="M11" i="2"/>
  <c r="N12" i="2"/>
  <c r="AO14" i="2"/>
  <c r="AQ14" i="2" s="1"/>
  <c r="Q8" i="2"/>
  <c r="AT8" i="2" s="1"/>
  <c r="AS8" i="2"/>
  <c r="AP8" i="2" s="1"/>
  <c r="AR8" i="2" s="1"/>
  <c r="AN12" i="2"/>
  <c r="V12" i="2" s="1"/>
  <c r="F13" i="2"/>
  <c r="AO13" i="2"/>
  <c r="AQ13" i="2" s="1"/>
  <c r="AP14" i="2"/>
  <c r="AR14" i="2" s="1"/>
  <c r="J23" i="2"/>
  <c r="AO12" i="2"/>
  <c r="AQ12" i="2" s="1"/>
  <c r="H13" i="2"/>
  <c r="AP13" i="2"/>
  <c r="AN13" i="2" s="1"/>
  <c r="V13" i="2" s="1"/>
  <c r="J14" i="2"/>
  <c r="J21" i="2"/>
  <c r="F9" i="2"/>
  <c r="AR13" i="2"/>
  <c r="AC14" i="2"/>
  <c r="K10" i="1"/>
  <c r="O10" i="1" s="1"/>
  <c r="C23" i="1"/>
  <c r="C22" i="1"/>
  <c r="C21" i="1"/>
  <c r="C20" i="1"/>
  <c r="C18" i="1"/>
  <c r="C17" i="1"/>
  <c r="C14" i="1"/>
  <c r="C13" i="1"/>
  <c r="C12" i="1"/>
  <c r="C11" i="1"/>
  <c r="C10" i="1"/>
  <c r="C9" i="1"/>
  <c r="B23" i="1"/>
  <c r="B22" i="1"/>
  <c r="B21" i="1"/>
  <c r="B20" i="1"/>
  <c r="B19" i="1"/>
  <c r="B18" i="1"/>
  <c r="B17" i="1"/>
  <c r="B14" i="1"/>
  <c r="B13" i="1"/>
  <c r="B12" i="1"/>
  <c r="B11" i="1"/>
  <c r="B10" i="1"/>
  <c r="AL9" i="1"/>
  <c r="AL15" i="4" s="1"/>
  <c r="AM9" i="1"/>
  <c r="AL10" i="1"/>
  <c r="AM10" i="1"/>
  <c r="AO10" i="1" s="1"/>
  <c r="AL11" i="1"/>
  <c r="AM11" i="1"/>
  <c r="AL12" i="1"/>
  <c r="AM12" i="1"/>
  <c r="AL13" i="1"/>
  <c r="AM13" i="1"/>
  <c r="AL14" i="1"/>
  <c r="AM14" i="1"/>
  <c r="AO14" i="1" s="1"/>
  <c r="AM8" i="1"/>
  <c r="AO8" i="1" s="1"/>
  <c r="AL8" i="1"/>
  <c r="Q12" i="5" l="1"/>
  <c r="AU19" i="6"/>
  <c r="U19" i="6"/>
  <c r="AE19" i="6" s="1"/>
  <c r="AT21" i="6"/>
  <c r="AD21" i="6"/>
  <c r="AT19" i="6"/>
  <c r="AD19" i="6"/>
  <c r="U21" i="6"/>
  <c r="AE21" i="6" s="1"/>
  <c r="AU21" i="6"/>
  <c r="AT9" i="6"/>
  <c r="AD9" i="6"/>
  <c r="P23" i="6"/>
  <c r="O23" i="6"/>
  <c r="R23" i="6" s="1"/>
  <c r="AU17" i="6"/>
  <c r="U17" i="6"/>
  <c r="AE17" i="6" s="1"/>
  <c r="AE27" i="6" s="1"/>
  <c r="AT18" i="6"/>
  <c r="AD18" i="6"/>
  <c r="N23" i="6"/>
  <c r="M23" i="6"/>
  <c r="Q23" i="6" s="1"/>
  <c r="AU9" i="6"/>
  <c r="U9" i="6"/>
  <c r="AE9" i="6" s="1"/>
  <c r="AT13" i="6"/>
  <c r="AD13" i="6"/>
  <c r="AT10" i="6"/>
  <c r="AD10" i="6"/>
  <c r="AU18" i="6"/>
  <c r="U18" i="6"/>
  <c r="AE18" i="6" s="1"/>
  <c r="AW11" i="6"/>
  <c r="BA11" i="6"/>
  <c r="AX11" i="6" s="1"/>
  <c r="AU12" i="6"/>
  <c r="U12" i="6"/>
  <c r="AE12" i="6" s="1"/>
  <c r="AU10" i="6"/>
  <c r="U10" i="6"/>
  <c r="AE10" i="6" s="1"/>
  <c r="AT20" i="6"/>
  <c r="AD20" i="6"/>
  <c r="AT11" i="6"/>
  <c r="AD11" i="6"/>
  <c r="M22" i="6"/>
  <c r="Q22" i="6" s="1"/>
  <c r="N22" i="6"/>
  <c r="BA14" i="6"/>
  <c r="AX14" i="6" s="1"/>
  <c r="AW14" i="6"/>
  <c r="AT14" i="6"/>
  <c r="AD14" i="6"/>
  <c r="P22" i="6"/>
  <c r="O22" i="6"/>
  <c r="R22" i="6" s="1"/>
  <c r="U13" i="6"/>
  <c r="AE13" i="6" s="1"/>
  <c r="U20" i="6"/>
  <c r="AE20" i="6" s="1"/>
  <c r="AU20" i="6"/>
  <c r="T8" i="6"/>
  <c r="AU8" i="6"/>
  <c r="AT17" i="6"/>
  <c r="AD17" i="6"/>
  <c r="AD27" i="6" s="1"/>
  <c r="BA13" i="6"/>
  <c r="AX13" i="6" s="1"/>
  <c r="AW13" i="6"/>
  <c r="AU17" i="5"/>
  <c r="U17" i="5"/>
  <c r="AE17" i="5" s="1"/>
  <c r="AE27" i="5" s="1"/>
  <c r="S10" i="5"/>
  <c r="T10" i="5" s="1"/>
  <c r="T11" i="5" s="1"/>
  <c r="T12" i="5" s="1"/>
  <c r="T13" i="5" s="1"/>
  <c r="T14" i="5" s="1"/>
  <c r="T9" i="5"/>
  <c r="AT12" i="5"/>
  <c r="AD12" i="5"/>
  <c r="AT11" i="5"/>
  <c r="R19" i="5"/>
  <c r="R20" i="5"/>
  <c r="R21" i="5"/>
  <c r="R22" i="5"/>
  <c r="R23" i="5"/>
  <c r="R18" i="5"/>
  <c r="R9" i="5"/>
  <c r="R10" i="5"/>
  <c r="R14" i="5"/>
  <c r="R12" i="5"/>
  <c r="R13" i="5"/>
  <c r="R11" i="5"/>
  <c r="AT13" i="5"/>
  <c r="AD13" i="5"/>
  <c r="AU8" i="5"/>
  <c r="T8" i="5"/>
  <c r="Q18" i="5"/>
  <c r="Q19" i="5"/>
  <c r="Q20" i="5"/>
  <c r="Q21" i="5"/>
  <c r="Q22" i="5"/>
  <c r="Q23" i="5"/>
  <c r="Q9" i="5"/>
  <c r="Q10" i="5"/>
  <c r="Q14" i="5"/>
  <c r="P18" i="3"/>
  <c r="F12" i="3"/>
  <c r="M21" i="3" s="1"/>
  <c r="H12" i="3"/>
  <c r="P21" i="3" s="1"/>
  <c r="F9" i="3"/>
  <c r="M18" i="3" s="1"/>
  <c r="Q11" i="2"/>
  <c r="AT11" i="2" s="1"/>
  <c r="Q12" i="2"/>
  <c r="AD12" i="2" s="1"/>
  <c r="Q10" i="2"/>
  <c r="AT10" i="2" s="1"/>
  <c r="H12" i="2"/>
  <c r="M17" i="2"/>
  <c r="Q17" i="2" s="1"/>
  <c r="O18" i="2"/>
  <c r="Q9" i="2"/>
  <c r="AT9" i="2" s="1"/>
  <c r="P17" i="2"/>
  <c r="O20" i="2"/>
  <c r="O9" i="2"/>
  <c r="Q14" i="2"/>
  <c r="AT14" i="2" s="1"/>
  <c r="AO9" i="1"/>
  <c r="AO15" i="4" s="1"/>
  <c r="AM15" i="4"/>
  <c r="S10" i="3"/>
  <c r="T10" i="3" s="1"/>
  <c r="T11" i="3" s="1"/>
  <c r="T12" i="3" s="1"/>
  <c r="T13" i="3" s="1"/>
  <c r="T14" i="3" s="1"/>
  <c r="R10" i="2"/>
  <c r="U10" i="2" s="1"/>
  <c r="AE10" i="2" s="1"/>
  <c r="R11" i="2"/>
  <c r="AU11" i="2" s="1"/>
  <c r="P19" i="3"/>
  <c r="N17" i="3"/>
  <c r="O18" i="3"/>
  <c r="M17" i="3"/>
  <c r="Q17" i="3" s="1"/>
  <c r="AD17" i="3" s="1"/>
  <c r="F10" i="3"/>
  <c r="N19" i="3" s="1"/>
  <c r="O19" i="3"/>
  <c r="F11" i="3"/>
  <c r="H11" i="3"/>
  <c r="S11" i="3"/>
  <c r="P20" i="2"/>
  <c r="F10" i="2"/>
  <c r="N19" i="2" s="1"/>
  <c r="N20" i="2"/>
  <c r="M20" i="2"/>
  <c r="R9" i="2"/>
  <c r="U9" i="2" s="1"/>
  <c r="AE9" i="2" s="1"/>
  <c r="O19" i="2"/>
  <c r="R19" i="2" s="1"/>
  <c r="AU19" i="2" s="1"/>
  <c r="P23" i="3"/>
  <c r="O23" i="3"/>
  <c r="N18" i="3"/>
  <c r="AR14" i="3"/>
  <c r="AN14" i="3" s="1"/>
  <c r="V14" i="3" s="1"/>
  <c r="O9" i="3"/>
  <c r="R11" i="3" s="1"/>
  <c r="M9" i="3"/>
  <c r="Q11" i="3" s="1"/>
  <c r="AR11" i="3"/>
  <c r="AN11" i="3" s="1"/>
  <c r="V11" i="3" s="1"/>
  <c r="S13" i="3"/>
  <c r="H13" i="3"/>
  <c r="F13" i="3"/>
  <c r="P17" i="3"/>
  <c r="O17" i="3"/>
  <c r="R17" i="3" s="1"/>
  <c r="R8" i="3"/>
  <c r="AN12" i="3"/>
  <c r="V12" i="3" s="1"/>
  <c r="N23" i="3"/>
  <c r="M23" i="3"/>
  <c r="S14" i="2"/>
  <c r="H14" i="2"/>
  <c r="F14" i="2"/>
  <c r="T9" i="2"/>
  <c r="S10" i="2"/>
  <c r="T10" i="2" s="1"/>
  <c r="T11" i="2" s="1"/>
  <c r="T12" i="2" s="1"/>
  <c r="T13" i="2" s="1"/>
  <c r="T14" i="2" s="1"/>
  <c r="P21" i="2"/>
  <c r="O21" i="2"/>
  <c r="R21" i="2" s="1"/>
  <c r="AT17" i="2"/>
  <c r="AD17" i="2"/>
  <c r="Q13" i="2"/>
  <c r="Q20" i="2"/>
  <c r="AN8" i="2"/>
  <c r="V8" i="2" s="1"/>
  <c r="P22" i="2"/>
  <c r="O22" i="2"/>
  <c r="R22" i="2" s="1"/>
  <c r="M22" i="2"/>
  <c r="Q22" i="2" s="1"/>
  <c r="N22" i="2"/>
  <c r="AN14" i="2"/>
  <c r="V14" i="2" s="1"/>
  <c r="N18" i="2"/>
  <c r="M18" i="2"/>
  <c r="Q18" i="2" s="1"/>
  <c r="AR9" i="2"/>
  <c r="AN9" i="2" s="1"/>
  <c r="V9" i="2" s="1"/>
  <c r="M21" i="2"/>
  <c r="Q21" i="2" s="1"/>
  <c r="N21" i="2"/>
  <c r="T8" i="2"/>
  <c r="AU8" i="2"/>
  <c r="O17" i="2"/>
  <c r="R17" i="2" s="1"/>
  <c r="AN11" i="2"/>
  <c r="V11" i="2" s="1"/>
  <c r="M10" i="1"/>
  <c r="AO11" i="1"/>
  <c r="AO12" i="1"/>
  <c r="AO13" i="1"/>
  <c r="AB14" i="1"/>
  <c r="AB13" i="1"/>
  <c r="AB12" i="1"/>
  <c r="AB11" i="1"/>
  <c r="AB10" i="1"/>
  <c r="AB9" i="1"/>
  <c r="AZ11" i="6" l="1"/>
  <c r="AZ13" i="6"/>
  <c r="W13" i="6" s="1"/>
  <c r="AT22" i="6"/>
  <c r="AD22" i="6"/>
  <c r="AW12" i="6"/>
  <c r="BA12" i="6"/>
  <c r="AK12" i="6" s="1"/>
  <c r="AX21" i="6"/>
  <c r="AW21" i="6"/>
  <c r="BA21" i="6"/>
  <c r="AY14" i="6"/>
  <c r="AG14" i="6"/>
  <c r="AW8" i="6"/>
  <c r="AY8" i="6" s="1"/>
  <c r="BA8" i="6"/>
  <c r="AX8" i="6" s="1"/>
  <c r="AY13" i="6"/>
  <c r="AG13" i="6"/>
  <c r="AW20" i="6"/>
  <c r="BA20" i="6"/>
  <c r="AK20" i="6" s="1"/>
  <c r="BA17" i="6"/>
  <c r="AX17" i="6" s="1"/>
  <c r="AW17" i="6"/>
  <c r="AH14" i="6"/>
  <c r="AY11" i="6"/>
  <c r="U23" i="6"/>
  <c r="AE23" i="6" s="1"/>
  <c r="AU23" i="6"/>
  <c r="AZ14" i="6"/>
  <c r="AW9" i="6"/>
  <c r="BB9" i="6"/>
  <c r="BA9" i="6"/>
  <c r="AX9" i="6" s="1"/>
  <c r="U22" i="6"/>
  <c r="AE22" i="6" s="1"/>
  <c r="AU22" i="6"/>
  <c r="AK14" i="6"/>
  <c r="AW10" i="6"/>
  <c r="BA10" i="6"/>
  <c r="AT23" i="6"/>
  <c r="AD23" i="6"/>
  <c r="BA18" i="6"/>
  <c r="AK18" i="6" s="1"/>
  <c r="AW18" i="6"/>
  <c r="AW19" i="6"/>
  <c r="BA19" i="6"/>
  <c r="AK19" i="6" s="1"/>
  <c r="AT19" i="5"/>
  <c r="AD19" i="5"/>
  <c r="AU12" i="5"/>
  <c r="U12" i="5"/>
  <c r="AE12" i="5" s="1"/>
  <c r="U20" i="5"/>
  <c r="AE20" i="5" s="1"/>
  <c r="AU20" i="5"/>
  <c r="AT14" i="5"/>
  <c r="AD14" i="5"/>
  <c r="AT18" i="5"/>
  <c r="AD18" i="5"/>
  <c r="U14" i="5"/>
  <c r="AE14" i="5" s="1"/>
  <c r="AU14" i="5"/>
  <c r="AU19" i="5"/>
  <c r="U19" i="5"/>
  <c r="AE19" i="5" s="1"/>
  <c r="BA17" i="5"/>
  <c r="AK17" i="5" s="1"/>
  <c r="AK27" i="5" s="1"/>
  <c r="AW17" i="5"/>
  <c r="AT10" i="5"/>
  <c r="AD10" i="5"/>
  <c r="AU10" i="5"/>
  <c r="U10" i="5"/>
  <c r="AE10" i="5" s="1"/>
  <c r="AD11" i="5"/>
  <c r="AT20" i="5"/>
  <c r="AD20" i="5"/>
  <c r="AU13" i="5"/>
  <c r="U13" i="5"/>
  <c r="AE13" i="5" s="1"/>
  <c r="U21" i="5"/>
  <c r="AE21" i="5" s="1"/>
  <c r="AU21" i="5"/>
  <c r="AT9" i="5"/>
  <c r="AD9" i="5"/>
  <c r="BA8" i="5"/>
  <c r="AX8" i="5" s="1"/>
  <c r="AW8" i="5"/>
  <c r="AY8" i="5" s="1"/>
  <c r="AU9" i="5"/>
  <c r="U9" i="5"/>
  <c r="AE9" i="5" s="1"/>
  <c r="AT23" i="5"/>
  <c r="AD23" i="5"/>
  <c r="AU18" i="5"/>
  <c r="U18" i="5"/>
  <c r="AE18" i="5" s="1"/>
  <c r="AT22" i="5"/>
  <c r="AD22" i="5"/>
  <c r="U23" i="5"/>
  <c r="AE23" i="5" s="1"/>
  <c r="AU23" i="5"/>
  <c r="AT21" i="5"/>
  <c r="AD21" i="5"/>
  <c r="AU11" i="5"/>
  <c r="U11" i="5"/>
  <c r="AE11" i="5" s="1"/>
  <c r="U22" i="5"/>
  <c r="AE22" i="5" s="1"/>
  <c r="AU22" i="5"/>
  <c r="N21" i="3"/>
  <c r="O21" i="3"/>
  <c r="AT12" i="2"/>
  <c r="R18" i="2"/>
  <c r="AU18" i="2" s="1"/>
  <c r="BA18" i="2" s="1"/>
  <c r="AU10" i="2"/>
  <c r="AD11" i="2"/>
  <c r="U11" i="2"/>
  <c r="AE11" i="2" s="1"/>
  <c r="AU9" i="2"/>
  <c r="BA9" i="2" s="1"/>
  <c r="R13" i="2"/>
  <c r="AU13" i="2" s="1"/>
  <c r="AW13" i="2" s="1"/>
  <c r="U19" i="2"/>
  <c r="AE19" i="2" s="1"/>
  <c r="AD9" i="2"/>
  <c r="AD10" i="2"/>
  <c r="R14" i="2"/>
  <c r="R12" i="2"/>
  <c r="R20" i="2"/>
  <c r="AT17" i="3"/>
  <c r="P20" i="3"/>
  <c r="O20" i="3"/>
  <c r="R20" i="3" s="1"/>
  <c r="M19" i="3"/>
  <c r="N20" i="3"/>
  <c r="M20" i="3"/>
  <c r="Q20" i="3" s="1"/>
  <c r="M19" i="2"/>
  <c r="Q19" i="2" s="1"/>
  <c r="AD19" i="2" s="1"/>
  <c r="AU11" i="3"/>
  <c r="AT11" i="3"/>
  <c r="Q18" i="3"/>
  <c r="Q9" i="3"/>
  <c r="Q19" i="3"/>
  <c r="Q21" i="3"/>
  <c r="Q23" i="3"/>
  <c r="Q10" i="3"/>
  <c r="AD11" i="3" s="1"/>
  <c r="Q14" i="3"/>
  <c r="M22" i="3"/>
  <c r="Q22" i="3" s="1"/>
  <c r="N22" i="3"/>
  <c r="P22" i="3"/>
  <c r="O22" i="3"/>
  <c r="R22" i="3" s="1"/>
  <c r="Q12" i="3"/>
  <c r="R13" i="3"/>
  <c r="AU17" i="3"/>
  <c r="U17" i="3"/>
  <c r="AE17" i="3" s="1"/>
  <c r="R19" i="3"/>
  <c r="R21" i="3"/>
  <c r="R9" i="3"/>
  <c r="R23" i="3"/>
  <c r="R10" i="3"/>
  <c r="R18" i="3"/>
  <c r="R12" i="3"/>
  <c r="R14" i="3"/>
  <c r="T8" i="3"/>
  <c r="AU8" i="3"/>
  <c r="Q13" i="3"/>
  <c r="AT22" i="2"/>
  <c r="AD22" i="2"/>
  <c r="AW8" i="2"/>
  <c r="AY8" i="2" s="1"/>
  <c r="BA8" i="2"/>
  <c r="AX8" i="2" s="1"/>
  <c r="AT20" i="2"/>
  <c r="AD20" i="2"/>
  <c r="AU21" i="2"/>
  <c r="AW11" i="2"/>
  <c r="BA11" i="2"/>
  <c r="AW10" i="2"/>
  <c r="BA10" i="2"/>
  <c r="AX10" i="2" s="1"/>
  <c r="AZ10" i="2" s="1"/>
  <c r="AU22" i="2"/>
  <c r="AW19" i="2"/>
  <c r="BA19" i="2"/>
  <c r="AX19" i="2" s="1"/>
  <c r="AD13" i="2"/>
  <c r="AT13" i="2"/>
  <c r="AT18" i="2"/>
  <c r="AD18" i="2"/>
  <c r="AD14" i="2"/>
  <c r="N23" i="2"/>
  <c r="M23" i="2"/>
  <c r="Q23" i="2" s="1"/>
  <c r="AT21" i="2"/>
  <c r="AD21" i="2"/>
  <c r="O23" i="2"/>
  <c r="R23" i="2" s="1"/>
  <c r="P23" i="2"/>
  <c r="AU17" i="2"/>
  <c r="U17" i="2"/>
  <c r="AE17" i="2" s="1"/>
  <c r="AW9" i="2"/>
  <c r="BB9" i="2"/>
  <c r="K11" i="1"/>
  <c r="AW18" i="2" l="1"/>
  <c r="U18" i="2"/>
  <c r="AE18" i="2" s="1"/>
  <c r="AK10" i="6"/>
  <c r="AI14" i="6"/>
  <c r="AX10" i="6"/>
  <c r="W8" i="6"/>
  <c r="AZ8" i="6"/>
  <c r="Y13" i="6"/>
  <c r="AV13" i="6"/>
  <c r="AX19" i="6"/>
  <c r="AG9" i="6"/>
  <c r="AY9" i="6"/>
  <c r="AI9" i="6" s="1"/>
  <c r="AW22" i="6"/>
  <c r="BA22" i="6"/>
  <c r="AK22" i="6" s="1"/>
  <c r="AH9" i="6"/>
  <c r="AX20" i="6"/>
  <c r="AK13" i="6"/>
  <c r="AJ14" i="6"/>
  <c r="AH17" i="6"/>
  <c r="AH27" i="6" s="1"/>
  <c r="AY12" i="6"/>
  <c r="AI12" i="6" s="1"/>
  <c r="AG12" i="6"/>
  <c r="AY17" i="6"/>
  <c r="AI17" i="6" s="1"/>
  <c r="AI27" i="6" s="1"/>
  <c r="AG17" i="6"/>
  <c r="AG27" i="6" s="1"/>
  <c r="AY18" i="6"/>
  <c r="AG18" i="6"/>
  <c r="AK11" i="6"/>
  <c r="BA23" i="6"/>
  <c r="AK23" i="6" s="1"/>
  <c r="AW23" i="6"/>
  <c r="AZ17" i="6"/>
  <c r="AJ17" i="6" s="1"/>
  <c r="AJ27" i="6" s="1"/>
  <c r="AZ21" i="6"/>
  <c r="W21" i="6" s="1"/>
  <c r="AX12" i="6"/>
  <c r="AH21" i="6" s="1"/>
  <c r="W11" i="6"/>
  <c r="AG20" i="6"/>
  <c r="AY20" i="6"/>
  <c r="AI20" i="6" s="1"/>
  <c r="AG19" i="6"/>
  <c r="AY19" i="6"/>
  <c r="AX18" i="6"/>
  <c r="AK9" i="6"/>
  <c r="AK17" i="6"/>
  <c r="AK27" i="6" s="1"/>
  <c r="AK21" i="6"/>
  <c r="AH11" i="6"/>
  <c r="AG10" i="6"/>
  <c r="AY10" i="6"/>
  <c r="AZ9" i="6"/>
  <c r="AG11" i="6"/>
  <c r="AY21" i="6"/>
  <c r="AI21" i="6" s="1"/>
  <c r="AG21" i="6"/>
  <c r="W14" i="6"/>
  <c r="AZ8" i="5"/>
  <c r="W8" i="5" s="1"/>
  <c r="BA13" i="5"/>
  <c r="AW13" i="5"/>
  <c r="AY17" i="5"/>
  <c r="AI17" i="5" s="1"/>
  <c r="AI27" i="5" s="1"/>
  <c r="AG17" i="5"/>
  <c r="AG27" i="5" s="1"/>
  <c r="AW12" i="5"/>
  <c r="BA12" i="5"/>
  <c r="AX12" i="5" s="1"/>
  <c r="AX11" i="5"/>
  <c r="AH11" i="5" s="1"/>
  <c r="AW11" i="5"/>
  <c r="BA11" i="5"/>
  <c r="BA18" i="5"/>
  <c r="AX18" i="5"/>
  <c r="AW18" i="5"/>
  <c r="AX17" i="5"/>
  <c r="BA23" i="5"/>
  <c r="AK23" i="5" s="1"/>
  <c r="AW23" i="5"/>
  <c r="BB9" i="5"/>
  <c r="BA9" i="5"/>
  <c r="AK9" i="5" s="1"/>
  <c r="AW9" i="5"/>
  <c r="AW21" i="5"/>
  <c r="BA21" i="5"/>
  <c r="AX21" i="5" s="1"/>
  <c r="AZ21" i="5" s="1"/>
  <c r="AW10" i="5"/>
  <c r="BA10" i="5"/>
  <c r="AX10" i="5"/>
  <c r="AW20" i="5"/>
  <c r="BA20" i="5"/>
  <c r="AX20" i="5" s="1"/>
  <c r="AH20" i="5" s="1"/>
  <c r="AW22" i="5"/>
  <c r="BA22" i="5"/>
  <c r="AX22" i="5" s="1"/>
  <c r="AW19" i="5"/>
  <c r="BA19" i="5"/>
  <c r="AK19" i="5" s="1"/>
  <c r="BA14" i="5"/>
  <c r="AX14" i="5" s="1"/>
  <c r="AW14" i="5"/>
  <c r="BA13" i="2"/>
  <c r="AX13" i="2" s="1"/>
  <c r="AZ13" i="2" s="1"/>
  <c r="W13" i="2" s="1"/>
  <c r="U14" i="2"/>
  <c r="AE14" i="2" s="1"/>
  <c r="U22" i="2"/>
  <c r="AE22" i="2" s="1"/>
  <c r="AT19" i="2"/>
  <c r="AU20" i="2"/>
  <c r="U20" i="2"/>
  <c r="AE20" i="2" s="1"/>
  <c r="U12" i="2"/>
  <c r="AE12" i="2" s="1"/>
  <c r="AU12" i="2"/>
  <c r="AU14" i="2"/>
  <c r="U21" i="2"/>
  <c r="AE21" i="2" s="1"/>
  <c r="U13" i="2"/>
  <c r="AE13" i="2" s="1"/>
  <c r="AH19" i="2"/>
  <c r="AK9" i="2"/>
  <c r="W10" i="2"/>
  <c r="Y10" i="2" s="1"/>
  <c r="U22" i="3"/>
  <c r="AE22" i="3" s="1"/>
  <c r="AU22" i="3"/>
  <c r="AT22" i="3"/>
  <c r="AD22" i="3"/>
  <c r="AW11" i="3"/>
  <c r="BA11" i="3"/>
  <c r="U21" i="3"/>
  <c r="AE21" i="3" s="1"/>
  <c r="AU21" i="3"/>
  <c r="AT20" i="3"/>
  <c r="AD20" i="3"/>
  <c r="AU9" i="3"/>
  <c r="U9" i="3"/>
  <c r="AE9" i="3" s="1"/>
  <c r="U14" i="3"/>
  <c r="AE14" i="3" s="1"/>
  <c r="AU14" i="3"/>
  <c r="U20" i="3"/>
  <c r="AE20" i="3" s="1"/>
  <c r="AU20" i="3"/>
  <c r="AT19" i="3"/>
  <c r="AD19" i="3"/>
  <c r="AU12" i="3"/>
  <c r="U12" i="3"/>
  <c r="AE12" i="3" s="1"/>
  <c r="AU19" i="3"/>
  <c r="U19" i="3"/>
  <c r="AE19" i="3" s="1"/>
  <c r="AT9" i="3"/>
  <c r="AD9" i="3"/>
  <c r="AT21" i="3"/>
  <c r="AD21" i="3"/>
  <c r="AT14" i="3"/>
  <c r="AD14" i="3"/>
  <c r="AT18" i="3"/>
  <c r="AD18" i="3"/>
  <c r="AU10" i="3"/>
  <c r="U10" i="3"/>
  <c r="AE10" i="3" s="1"/>
  <c r="BA17" i="3"/>
  <c r="AX17" i="3" s="1"/>
  <c r="AZ17" i="3" s="1"/>
  <c r="AW17" i="3"/>
  <c r="AT10" i="3"/>
  <c r="AD10" i="3"/>
  <c r="AW8" i="3"/>
  <c r="AY8" i="3" s="1"/>
  <c r="BA8" i="3"/>
  <c r="AX8" i="3" s="1"/>
  <c r="AU18" i="3"/>
  <c r="U18" i="3"/>
  <c r="AE18" i="3" s="1"/>
  <c r="U23" i="3"/>
  <c r="AE23" i="3" s="1"/>
  <c r="AU23" i="3"/>
  <c r="U13" i="3"/>
  <c r="AE13" i="3" s="1"/>
  <c r="AU13" i="3"/>
  <c r="AT23" i="3"/>
  <c r="AD23" i="3"/>
  <c r="AT13" i="3"/>
  <c r="AD13" i="3"/>
  <c r="AT12" i="3"/>
  <c r="AD12" i="3"/>
  <c r="U11" i="3"/>
  <c r="AE11" i="3" s="1"/>
  <c r="AZ8" i="2"/>
  <c r="W8" i="2" s="1"/>
  <c r="AG9" i="2"/>
  <c r="AY9" i="2"/>
  <c r="AI9" i="2" s="1"/>
  <c r="AY13" i="2"/>
  <c r="AK11" i="2"/>
  <c r="AG18" i="2"/>
  <c r="AY18" i="2"/>
  <c r="BA17" i="2"/>
  <c r="AK17" i="2" s="1"/>
  <c r="AW17" i="2"/>
  <c r="AY17" i="2" s="1"/>
  <c r="AK18" i="2"/>
  <c r="AK10" i="2"/>
  <c r="AD23" i="2"/>
  <c r="AT23" i="2"/>
  <c r="AZ19" i="2"/>
  <c r="AJ19" i="2" s="1"/>
  <c r="AY11" i="2"/>
  <c r="AG11" i="2"/>
  <c r="BA14" i="2"/>
  <c r="AK14" i="2" s="1"/>
  <c r="AW14" i="2"/>
  <c r="AK19" i="2"/>
  <c r="AG10" i="2"/>
  <c r="AY10" i="2"/>
  <c r="AX11" i="2"/>
  <c r="U23" i="2"/>
  <c r="AE23" i="2" s="1"/>
  <c r="AU23" i="2"/>
  <c r="AW21" i="2"/>
  <c r="BA21" i="2"/>
  <c r="AX9" i="2"/>
  <c r="AX18" i="2"/>
  <c r="AG19" i="2"/>
  <c r="AY19" i="2"/>
  <c r="AW22" i="2"/>
  <c r="BA22" i="2"/>
  <c r="AK22" i="2" s="1"/>
  <c r="O11" i="1"/>
  <c r="M11" i="1"/>
  <c r="D8" i="1"/>
  <c r="K9" i="1" s="1"/>
  <c r="AI10" i="6" l="1"/>
  <c r="AH10" i="6"/>
  <c r="AZ10" i="6"/>
  <c r="AI18" i="6"/>
  <c r="AI11" i="6"/>
  <c r="AX9" i="5"/>
  <c r="AH9" i="5" s="1"/>
  <c r="AZ11" i="5"/>
  <c r="AK11" i="5"/>
  <c r="AK13" i="5"/>
  <c r="AV21" i="6"/>
  <c r="Y21" i="6"/>
  <c r="AH18" i="6"/>
  <c r="AZ18" i="6"/>
  <c r="AJ18" i="6" s="1"/>
  <c r="W18" i="6"/>
  <c r="AI13" i="6"/>
  <c r="AY22" i="6"/>
  <c r="AI22" i="6" s="1"/>
  <c r="AG22" i="6"/>
  <c r="AJ9" i="6"/>
  <c r="W9" i="6"/>
  <c r="AI19" i="6"/>
  <c r="AX22" i="6"/>
  <c r="AH19" i="6"/>
  <c r="AZ19" i="6"/>
  <c r="AJ19" i="6" s="1"/>
  <c r="W19" i="6"/>
  <c r="AV8" i="6"/>
  <c r="Y8" i="6"/>
  <c r="AY23" i="6"/>
  <c r="AI23" i="6" s="1"/>
  <c r="AG23" i="6"/>
  <c r="AX23" i="6"/>
  <c r="AJ10" i="6"/>
  <c r="AH20" i="6"/>
  <c r="AZ20" i="6"/>
  <c r="AJ20" i="6" s="1"/>
  <c r="X14" i="6"/>
  <c r="AF14" i="6" s="1"/>
  <c r="Y14" i="6"/>
  <c r="Z14" i="6" s="1"/>
  <c r="AV14" i="6"/>
  <c r="Y11" i="6"/>
  <c r="AV11" i="6"/>
  <c r="W17" i="6"/>
  <c r="AH12" i="6"/>
  <c r="AZ12" i="6"/>
  <c r="AH13" i="6"/>
  <c r="W12" i="6"/>
  <c r="AV8" i="5"/>
  <c r="Y8" i="5"/>
  <c r="AZ14" i="5"/>
  <c r="W14" i="5" s="1"/>
  <c r="AJ11" i="5"/>
  <c r="AZ20" i="5"/>
  <c r="AY10" i="5"/>
  <c r="AG10" i="5"/>
  <c r="AH12" i="5"/>
  <c r="AY14" i="5"/>
  <c r="AG14" i="5"/>
  <c r="AG19" i="5"/>
  <c r="AY19" i="5"/>
  <c r="AI19" i="5" s="1"/>
  <c r="AK20" i="5"/>
  <c r="AH17" i="5"/>
  <c r="AH27" i="5" s="1"/>
  <c r="AZ17" i="5"/>
  <c r="AJ17" i="5" s="1"/>
  <c r="AJ27" i="5" s="1"/>
  <c r="W11" i="5"/>
  <c r="AK22" i="5"/>
  <c r="AG20" i="5"/>
  <c r="AY20" i="5"/>
  <c r="AK21" i="5"/>
  <c r="AY18" i="5"/>
  <c r="AG18" i="5"/>
  <c r="AG11" i="5"/>
  <c r="AY11" i="5"/>
  <c r="AY22" i="5"/>
  <c r="AI22" i="5" s="1"/>
  <c r="AG22" i="5"/>
  <c r="AY21" i="5"/>
  <c r="AG21" i="5"/>
  <c r="AH18" i="5"/>
  <c r="AK14" i="5"/>
  <c r="AH10" i="5"/>
  <c r="AH21" i="5"/>
  <c r="AY23" i="5"/>
  <c r="AI23" i="5" s="1"/>
  <c r="AG23" i="5"/>
  <c r="AK12" i="5"/>
  <c r="AY13" i="5"/>
  <c r="AG13" i="5"/>
  <c r="AX19" i="5"/>
  <c r="W22" i="5"/>
  <c r="AZ10" i="5"/>
  <c r="W21" i="5"/>
  <c r="AX23" i="5"/>
  <c r="AZ18" i="5"/>
  <c r="AZ12" i="5"/>
  <c r="AJ21" i="5" s="1"/>
  <c r="AX13" i="5"/>
  <c r="AZ22" i="5"/>
  <c r="AK10" i="5"/>
  <c r="AG9" i="5"/>
  <c r="AY9" i="5"/>
  <c r="AI9" i="5" s="1"/>
  <c r="AK18" i="5"/>
  <c r="AY12" i="5"/>
  <c r="AI12" i="5" s="1"/>
  <c r="AG12" i="5"/>
  <c r="AI19" i="2"/>
  <c r="AW12" i="2"/>
  <c r="BA12" i="2"/>
  <c r="AV10" i="2"/>
  <c r="AW20" i="2"/>
  <c r="BA20" i="2"/>
  <c r="AX14" i="2"/>
  <c r="AH14" i="2" s="1"/>
  <c r="AX17" i="2"/>
  <c r="AH17" i="2" s="1"/>
  <c r="AZ8" i="3"/>
  <c r="W8" i="3" s="1"/>
  <c r="BA18" i="3"/>
  <c r="AX18" i="3" s="1"/>
  <c r="AZ18" i="3" s="1"/>
  <c r="AW18" i="3"/>
  <c r="AY17" i="3"/>
  <c r="AI17" i="3" s="1"/>
  <c r="AG17" i="3"/>
  <c r="AW19" i="3"/>
  <c r="BA19" i="3"/>
  <c r="AX19" i="3" s="1"/>
  <c r="AZ19" i="3" s="1"/>
  <c r="BA14" i="3"/>
  <c r="AW14" i="3"/>
  <c r="AH17" i="3"/>
  <c r="W17" i="3"/>
  <c r="AW12" i="3"/>
  <c r="BA12" i="3"/>
  <c r="AK12" i="3" s="1"/>
  <c r="AW9" i="3"/>
  <c r="BA9" i="3"/>
  <c r="AK9" i="3" s="1"/>
  <c r="BB9" i="3"/>
  <c r="AY11" i="3"/>
  <c r="BA13" i="3"/>
  <c r="AW13" i="3"/>
  <c r="AK17" i="3"/>
  <c r="AX11" i="3"/>
  <c r="BA23" i="3"/>
  <c r="AW23" i="3"/>
  <c r="AW20" i="3"/>
  <c r="BA20" i="3"/>
  <c r="AK20" i="3" s="1"/>
  <c r="AW21" i="3"/>
  <c r="BA21" i="3"/>
  <c r="AW10" i="3"/>
  <c r="BA10" i="3"/>
  <c r="AK11" i="3" s="1"/>
  <c r="AW22" i="3"/>
  <c r="BA22" i="3"/>
  <c r="AV8" i="2"/>
  <c r="Y8" i="2"/>
  <c r="AH9" i="2"/>
  <c r="AZ9" i="2"/>
  <c r="AH11" i="2"/>
  <c r="AZ11" i="2"/>
  <c r="AJ11" i="2" s="1"/>
  <c r="Y13" i="2"/>
  <c r="AV13" i="2"/>
  <c r="AY22" i="2"/>
  <c r="AI22" i="2" s="1"/>
  <c r="AG22" i="2"/>
  <c r="AI10" i="2"/>
  <c r="BA23" i="2"/>
  <c r="AK23" i="2" s="1"/>
  <c r="AW23" i="2"/>
  <c r="AX22" i="2"/>
  <c r="AY21" i="2"/>
  <c r="AG21" i="2"/>
  <c r="AI18" i="2"/>
  <c r="AH18" i="2"/>
  <c r="AZ18" i="2"/>
  <c r="AX21" i="2"/>
  <c r="W19" i="2"/>
  <c r="AH10" i="2"/>
  <c r="AY14" i="2"/>
  <c r="AI14" i="2" s="1"/>
  <c r="AG14" i="2"/>
  <c r="AI11" i="2"/>
  <c r="AI17" i="2"/>
  <c r="AG17" i="2"/>
  <c r="M9" i="1"/>
  <c r="O9" i="1"/>
  <c r="K17" i="1"/>
  <c r="K19" i="1"/>
  <c r="J8" i="1"/>
  <c r="F8" i="1" s="1"/>
  <c r="W10" i="6" l="1"/>
  <c r="AJ11" i="6"/>
  <c r="W20" i="6"/>
  <c r="AI18" i="5"/>
  <c r="AZ9" i="5"/>
  <c r="AJ9" i="5" s="1"/>
  <c r="Y12" i="6"/>
  <c r="X12" i="6"/>
  <c r="AF12" i="6" s="1"/>
  <c r="AV12" i="6"/>
  <c r="X13" i="6"/>
  <c r="AF13" i="6" s="1"/>
  <c r="AH23" i="6"/>
  <c r="AZ23" i="6"/>
  <c r="AJ23" i="6" s="1"/>
  <c r="X19" i="6"/>
  <c r="AF19" i="6" s="1"/>
  <c r="AV19" i="6"/>
  <c r="Y19" i="6"/>
  <c r="AJ12" i="6"/>
  <c r="AJ13" i="6"/>
  <c r="AV18" i="6"/>
  <c r="Y18" i="6"/>
  <c r="X18" i="6"/>
  <c r="AF18" i="6" s="1"/>
  <c r="AJ21" i="6"/>
  <c r="AH22" i="6"/>
  <c r="AZ22" i="6"/>
  <c r="AJ22" i="6" s="1"/>
  <c r="Y17" i="6"/>
  <c r="X17" i="6"/>
  <c r="AF17" i="6" s="1"/>
  <c r="AF27" i="6" s="1"/>
  <c r="AV17" i="6"/>
  <c r="AV20" i="6"/>
  <c r="Y20" i="6"/>
  <c r="X20" i="6"/>
  <c r="AF20" i="6" s="1"/>
  <c r="Y9" i="6"/>
  <c r="Z9" i="6" s="1"/>
  <c r="X9" i="6"/>
  <c r="AF9" i="6" s="1"/>
  <c r="AV9" i="6"/>
  <c r="X21" i="6"/>
  <c r="AF21" i="6" s="1"/>
  <c r="AH23" i="5"/>
  <c r="AZ23" i="5"/>
  <c r="AJ23" i="5" s="1"/>
  <c r="W18" i="5"/>
  <c r="AV21" i="5"/>
  <c r="Y21" i="5"/>
  <c r="AI10" i="5"/>
  <c r="AJ10" i="5"/>
  <c r="W10" i="5"/>
  <c r="X11" i="5" s="1"/>
  <c r="AF11" i="5" s="1"/>
  <c r="AI21" i="5"/>
  <c r="AI20" i="5"/>
  <c r="AJ20" i="5"/>
  <c r="W20" i="5"/>
  <c r="AV22" i="5"/>
  <c r="Y22" i="5"/>
  <c r="AH19" i="5"/>
  <c r="AZ19" i="5"/>
  <c r="AJ19" i="5" s="1"/>
  <c r="Y14" i="5"/>
  <c r="AV14" i="5"/>
  <c r="AH13" i="5"/>
  <c r="AZ13" i="5"/>
  <c r="AJ13" i="5" s="1"/>
  <c r="W13" i="5"/>
  <c r="X14" i="5" s="1"/>
  <c r="AF14" i="5" s="1"/>
  <c r="AH22" i="5"/>
  <c r="AI11" i="5"/>
  <c r="Y11" i="5"/>
  <c r="AV11" i="5"/>
  <c r="AJ12" i="5"/>
  <c r="W12" i="5"/>
  <c r="X21" i="5" s="1"/>
  <c r="AF21" i="5" s="1"/>
  <c r="AI13" i="5"/>
  <c r="W17" i="5"/>
  <c r="AI14" i="5"/>
  <c r="AH14" i="5"/>
  <c r="AK23" i="3"/>
  <c r="AX23" i="2"/>
  <c r="AH23" i="2"/>
  <c r="AZ14" i="2"/>
  <c r="AJ14" i="2" s="1"/>
  <c r="AK20" i="2"/>
  <c r="AX20" i="2"/>
  <c r="AG20" i="2"/>
  <c r="AY20" i="2"/>
  <c r="AI20" i="2" s="1"/>
  <c r="AK12" i="2"/>
  <c r="AK13" i="2"/>
  <c r="AX12" i="2"/>
  <c r="AG12" i="2"/>
  <c r="AY12" i="2"/>
  <c r="AG13" i="2"/>
  <c r="AI21" i="2"/>
  <c r="AK21" i="2"/>
  <c r="AK22" i="3"/>
  <c r="AJ18" i="2"/>
  <c r="AZ17" i="2"/>
  <c r="AJ17" i="2" s="1"/>
  <c r="AX23" i="3"/>
  <c r="AZ23" i="3" s="1"/>
  <c r="AX10" i="3"/>
  <c r="AH19" i="3" s="1"/>
  <c r="AK21" i="3"/>
  <c r="AK14" i="3"/>
  <c r="AX12" i="3"/>
  <c r="AZ12" i="3" s="1"/>
  <c r="AX20" i="3"/>
  <c r="AH20" i="3" s="1"/>
  <c r="AK13" i="3"/>
  <c r="AZ23" i="2"/>
  <c r="W23" i="2" s="1"/>
  <c r="AV8" i="3"/>
  <c r="Y8" i="3"/>
  <c r="AY12" i="3"/>
  <c r="AI12" i="3" s="1"/>
  <c r="AG12" i="3"/>
  <c r="AY21" i="3"/>
  <c r="AG21" i="3"/>
  <c r="AY23" i="3"/>
  <c r="AG23" i="3"/>
  <c r="AY18" i="3"/>
  <c r="AG18" i="3"/>
  <c r="AX21" i="3"/>
  <c r="AY13" i="3"/>
  <c r="AG13" i="3"/>
  <c r="AK10" i="3"/>
  <c r="AX13" i="3"/>
  <c r="Y17" i="3"/>
  <c r="X17" i="3"/>
  <c r="AF17" i="3" s="1"/>
  <c r="AV17" i="3"/>
  <c r="W19" i="3"/>
  <c r="W18" i="3"/>
  <c r="AG9" i="3"/>
  <c r="AY9" i="3"/>
  <c r="AI9" i="3" s="1"/>
  <c r="AG10" i="3"/>
  <c r="AY10" i="3"/>
  <c r="AX9" i="3"/>
  <c r="AH18" i="3" s="1"/>
  <c r="AK19" i="3"/>
  <c r="AK18" i="3"/>
  <c r="AY22" i="3"/>
  <c r="AG22" i="3"/>
  <c r="AZ11" i="3"/>
  <c r="AG11" i="3"/>
  <c r="AY14" i="3"/>
  <c r="AG14" i="3"/>
  <c r="AG19" i="3"/>
  <c r="AY19" i="3"/>
  <c r="AX22" i="3"/>
  <c r="AG20" i="3"/>
  <c r="AY20" i="3"/>
  <c r="AI20" i="3" s="1"/>
  <c r="AJ17" i="3"/>
  <c r="AX14" i="3"/>
  <c r="AH23" i="3" s="1"/>
  <c r="AH22" i="2"/>
  <c r="AZ22" i="2"/>
  <c r="AJ22" i="2" s="1"/>
  <c r="AJ9" i="2"/>
  <c r="AJ10" i="2"/>
  <c r="W14" i="2"/>
  <c r="AV19" i="2"/>
  <c r="Y19" i="2"/>
  <c r="X19" i="2"/>
  <c r="AF19" i="2" s="1"/>
  <c r="W9" i="2"/>
  <c r="AY23" i="2"/>
  <c r="AI23" i="2" s="1"/>
  <c r="AG23" i="2"/>
  <c r="AZ21" i="2"/>
  <c r="W18" i="2"/>
  <c r="W11" i="2"/>
  <c r="H8" i="1"/>
  <c r="R8" i="1" s="1"/>
  <c r="T8" i="1" s="1"/>
  <c r="S8" i="1"/>
  <c r="Q8" i="1"/>
  <c r="X8" i="1"/>
  <c r="Z8" i="1" s="1"/>
  <c r="W22" i="6" l="1"/>
  <c r="X11" i="6"/>
  <c r="AF11" i="6" s="1"/>
  <c r="X10" i="6"/>
  <c r="AF10" i="6" s="1"/>
  <c r="Y10" i="6"/>
  <c r="AV10" i="6"/>
  <c r="AJ18" i="5"/>
  <c r="W19" i="5"/>
  <c r="X22" i="5"/>
  <c r="AF22" i="5" s="1"/>
  <c r="W9" i="5"/>
  <c r="Z12" i="6"/>
  <c r="Z13" i="6"/>
  <c r="W23" i="6"/>
  <c r="X22" i="6"/>
  <c r="AF22" i="6" s="1"/>
  <c r="AV22" i="6"/>
  <c r="Y22" i="6"/>
  <c r="W23" i="5"/>
  <c r="Z14" i="5"/>
  <c r="AV20" i="5"/>
  <c r="Y20" i="5"/>
  <c r="X20" i="5"/>
  <c r="AF20" i="5" s="1"/>
  <c r="Y17" i="5"/>
  <c r="X17" i="5"/>
  <c r="AF17" i="5" s="1"/>
  <c r="AF27" i="5" s="1"/>
  <c r="AV17" i="5"/>
  <c r="AV19" i="5"/>
  <c r="Y19" i="5"/>
  <c r="X19" i="5"/>
  <c r="AF19" i="5" s="1"/>
  <c r="Y12" i="5"/>
  <c r="Z12" i="5" s="1"/>
  <c r="AV12" i="5"/>
  <c r="X12" i="5"/>
  <c r="AF12" i="5" s="1"/>
  <c r="X13" i="5"/>
  <c r="AF13" i="5" s="1"/>
  <c r="Y13" i="5"/>
  <c r="AV13" i="5"/>
  <c r="AJ22" i="5"/>
  <c r="AV10" i="5"/>
  <c r="Y10" i="5"/>
  <c r="Z11" i="5" s="1"/>
  <c r="X10" i="5"/>
  <c r="AF10" i="5" s="1"/>
  <c r="AJ14" i="5"/>
  <c r="AV18" i="5"/>
  <c r="Y18" i="5"/>
  <c r="X18" i="5"/>
  <c r="AF18" i="5" s="1"/>
  <c r="AH11" i="3"/>
  <c r="AH13" i="2"/>
  <c r="AH12" i="2"/>
  <c r="AZ12" i="2"/>
  <c r="AJ21" i="2" s="1"/>
  <c r="W17" i="2"/>
  <c r="Y17" i="2" s="1"/>
  <c r="AH20" i="2"/>
  <c r="AZ20" i="2"/>
  <c r="AH21" i="2"/>
  <c r="AI12" i="2"/>
  <c r="AI13" i="2"/>
  <c r="AZ20" i="3"/>
  <c r="AJ20" i="3" s="1"/>
  <c r="W12" i="3"/>
  <c r="Y12" i="3" s="1"/>
  <c r="W23" i="3"/>
  <c r="AV23" i="3" s="1"/>
  <c r="AI23" i="3"/>
  <c r="AH12" i="3"/>
  <c r="AZ10" i="3"/>
  <c r="AJ19" i="3" s="1"/>
  <c r="AI19" i="3"/>
  <c r="AH10" i="3"/>
  <c r="AI13" i="3"/>
  <c r="AI21" i="3"/>
  <c r="W22" i="2"/>
  <c r="AV22" i="2" s="1"/>
  <c r="AJ23" i="2"/>
  <c r="AJ12" i="3"/>
  <c r="AH22" i="3"/>
  <c r="AZ22" i="3"/>
  <c r="W11" i="3"/>
  <c r="AH9" i="3"/>
  <c r="AZ9" i="3"/>
  <c r="AH13" i="3"/>
  <c r="AZ13" i="3"/>
  <c r="AJ13" i="3" s="1"/>
  <c r="AH21" i="3"/>
  <c r="AZ21" i="3"/>
  <c r="AJ21" i="3" s="1"/>
  <c r="AI10" i="3"/>
  <c r="AH14" i="3"/>
  <c r="AZ14" i="3"/>
  <c r="AV18" i="3"/>
  <c r="Y18" i="3"/>
  <c r="AI11" i="3"/>
  <c r="AI14" i="3"/>
  <c r="AI22" i="3"/>
  <c r="AV19" i="3"/>
  <c r="Y19" i="3"/>
  <c r="AI18" i="3"/>
  <c r="AV18" i="2"/>
  <c r="Y18" i="2"/>
  <c r="X18" i="2"/>
  <c r="AF18" i="2" s="1"/>
  <c r="Y9" i="2"/>
  <c r="X9" i="2"/>
  <c r="AF9" i="2" s="1"/>
  <c r="AV9" i="2"/>
  <c r="X10" i="2"/>
  <c r="AF10" i="2" s="1"/>
  <c r="Y11" i="2"/>
  <c r="Z11" i="2" s="1"/>
  <c r="X11" i="2"/>
  <c r="AF11" i="2" s="1"/>
  <c r="AV11" i="2"/>
  <c r="Y23" i="2"/>
  <c r="X23" i="2"/>
  <c r="AF23" i="2" s="1"/>
  <c r="AV23" i="2"/>
  <c r="W21" i="2"/>
  <c r="Y14" i="2"/>
  <c r="Z14" i="2" s="1"/>
  <c r="X14" i="2"/>
  <c r="AF14" i="2" s="1"/>
  <c r="AV14" i="2"/>
  <c r="AU8" i="1"/>
  <c r="Z11" i="6" l="1"/>
  <c r="Z10" i="6"/>
  <c r="Y9" i="5"/>
  <c r="Z9" i="5" s="1"/>
  <c r="AV9" i="5"/>
  <c r="X9" i="5"/>
  <c r="AF9" i="5" s="1"/>
  <c r="Z13" i="5"/>
  <c r="Y23" i="6"/>
  <c r="X23" i="6"/>
  <c r="AF23" i="6" s="1"/>
  <c r="AV23" i="6"/>
  <c r="Y23" i="5"/>
  <c r="X23" i="5"/>
  <c r="AF23" i="5" s="1"/>
  <c r="AV23" i="5"/>
  <c r="W20" i="3"/>
  <c r="AV20" i="3" s="1"/>
  <c r="AV17" i="2"/>
  <c r="W20" i="2"/>
  <c r="AJ20" i="2"/>
  <c r="X17" i="2"/>
  <c r="AF17" i="2" s="1"/>
  <c r="W12" i="2"/>
  <c r="X21" i="2" s="1"/>
  <c r="AF21" i="2" s="1"/>
  <c r="AJ13" i="2"/>
  <c r="AJ12" i="2"/>
  <c r="AV12" i="3"/>
  <c r="Y23" i="3"/>
  <c r="X12" i="3"/>
  <c r="AF12" i="3" s="1"/>
  <c r="X22" i="2"/>
  <c r="AF22" i="2" s="1"/>
  <c r="Y22" i="2"/>
  <c r="W10" i="3"/>
  <c r="X19" i="3" s="1"/>
  <c r="AF19" i="3" s="1"/>
  <c r="AV10" i="3"/>
  <c r="AJ22" i="3"/>
  <c r="AJ11" i="3"/>
  <c r="W22" i="3"/>
  <c r="W21" i="3"/>
  <c r="AJ9" i="3"/>
  <c r="AJ18" i="3"/>
  <c r="AJ10" i="3"/>
  <c r="W9" i="3"/>
  <c r="AJ14" i="3"/>
  <c r="AJ23" i="3"/>
  <c r="W13" i="3"/>
  <c r="W14" i="3"/>
  <c r="Y11" i="3"/>
  <c r="AV11" i="3"/>
  <c r="AV21" i="2"/>
  <c r="Y21" i="2"/>
  <c r="Z9" i="2"/>
  <c r="Z10" i="2"/>
  <c r="AW8" i="1"/>
  <c r="K18" i="1"/>
  <c r="K20" i="1"/>
  <c r="K21" i="1"/>
  <c r="K22" i="1"/>
  <c r="K23" i="1"/>
  <c r="Z10" i="5" l="1"/>
  <c r="X20" i="3"/>
  <c r="AF20" i="3" s="1"/>
  <c r="Y10" i="3"/>
  <c r="Z11" i="3" s="1"/>
  <c r="Y20" i="3"/>
  <c r="X13" i="2"/>
  <c r="AF13" i="2" s="1"/>
  <c r="Y12" i="2"/>
  <c r="AV12" i="2"/>
  <c r="X12" i="2"/>
  <c r="AF12" i="2" s="1"/>
  <c r="AV20" i="2"/>
  <c r="Y20" i="2"/>
  <c r="X20" i="2"/>
  <c r="AF20" i="2" s="1"/>
  <c r="X11" i="3"/>
  <c r="AF11" i="3" s="1"/>
  <c r="Y14" i="3"/>
  <c r="X14" i="3"/>
  <c r="AF14" i="3" s="1"/>
  <c r="AV14" i="3"/>
  <c r="X23" i="3"/>
  <c r="AF23" i="3" s="1"/>
  <c r="Y13" i="3"/>
  <c r="Z13" i="3" s="1"/>
  <c r="X13" i="3"/>
  <c r="AF13" i="3" s="1"/>
  <c r="AV13" i="3"/>
  <c r="AV21" i="3"/>
  <c r="Y21" i="3"/>
  <c r="X21" i="3"/>
  <c r="AF21" i="3" s="1"/>
  <c r="Z12" i="3"/>
  <c r="Y9" i="3"/>
  <c r="X9" i="3"/>
  <c r="AF9" i="3" s="1"/>
  <c r="AV9" i="3"/>
  <c r="X10" i="3"/>
  <c r="AF10" i="3" s="1"/>
  <c r="X18" i="3"/>
  <c r="AF18" i="3" s="1"/>
  <c r="X22" i="3"/>
  <c r="AF22" i="3" s="1"/>
  <c r="AV22" i="3"/>
  <c r="Y22" i="3"/>
  <c r="L5" i="1"/>
  <c r="K5" i="1"/>
  <c r="AT8" i="1"/>
  <c r="Z13" i="2" l="1"/>
  <c r="Z12" i="2"/>
  <c r="Z9" i="3"/>
  <c r="Z10" i="3"/>
  <c r="Z14" i="3"/>
  <c r="AC9" i="1"/>
  <c r="AQ10" i="1"/>
  <c r="AQ9" i="1"/>
  <c r="AQ15" i="4" s="1"/>
  <c r="AQ14" i="1"/>
  <c r="AQ8" i="1"/>
  <c r="AQ11" i="1"/>
  <c r="AQ12" i="1"/>
  <c r="AQ13" i="1"/>
  <c r="AS11" i="1"/>
  <c r="AP11" i="1" s="1"/>
  <c r="AS13" i="1"/>
  <c r="AP13" i="1" s="1"/>
  <c r="AS9" i="1"/>
  <c r="AS14" i="1"/>
  <c r="AP14" i="1" s="1"/>
  <c r="AS10" i="1"/>
  <c r="AP10" i="1" s="1"/>
  <c r="AS12" i="1"/>
  <c r="AP12" i="1" s="1"/>
  <c r="AS8" i="1"/>
  <c r="AP8" i="1" s="1"/>
  <c r="BA8" i="1"/>
  <c r="AX8" i="1" s="1"/>
  <c r="AC11" i="1"/>
  <c r="AC10" i="1"/>
  <c r="AC12" i="1"/>
  <c r="AC13" i="1"/>
  <c r="AC14" i="1"/>
  <c r="AY8" i="1"/>
  <c r="AP9" i="1" l="1"/>
  <c r="AP15" i="4" s="1"/>
  <c r="AS15" i="4"/>
  <c r="AR10" i="1"/>
  <c r="AN10" i="1" s="1"/>
  <c r="V10" i="1" s="1"/>
  <c r="AR14" i="1"/>
  <c r="AN14" i="1" s="1"/>
  <c r="V14" i="1" s="1"/>
  <c r="AR12" i="1"/>
  <c r="AN12" i="1" s="1"/>
  <c r="V12" i="1" s="1"/>
  <c r="AR8" i="1"/>
  <c r="AN8" i="1" s="1"/>
  <c r="V8" i="1" s="1"/>
  <c r="AR13" i="1"/>
  <c r="AN13" i="1" s="1"/>
  <c r="V13" i="1" s="1"/>
  <c r="AR11" i="1"/>
  <c r="AN11" i="1" s="1"/>
  <c r="V11" i="1" s="1"/>
  <c r="AR9" i="1" l="1"/>
  <c r="AN9" i="1" s="1"/>
  <c r="AR15" i="4"/>
  <c r="AZ8" i="1"/>
  <c r="L9" i="1"/>
  <c r="V9" i="1" l="1"/>
  <c r="AN15" i="4"/>
  <c r="P9" i="1"/>
  <c r="R9" i="1" s="1"/>
  <c r="N9" i="1"/>
  <c r="Q9" i="1" s="1"/>
  <c r="W8" i="1"/>
  <c r="Y8" i="1" s="1"/>
  <c r="J17" i="1"/>
  <c r="L17" i="1"/>
  <c r="K14" i="1"/>
  <c r="J13" i="1"/>
  <c r="K13" i="1"/>
  <c r="L13" i="1"/>
  <c r="K12" i="1"/>
  <c r="L12" i="1"/>
  <c r="L10" i="1"/>
  <c r="L11" i="1"/>
  <c r="J9" i="1"/>
  <c r="J10" i="1"/>
  <c r="H10" i="1" s="1"/>
  <c r="J11" i="1"/>
  <c r="J12" i="1"/>
  <c r="AD9" i="1" l="1"/>
  <c r="AT9" i="1"/>
  <c r="AT15" i="4" s="1"/>
  <c r="S9" i="1"/>
  <c r="F9" i="1"/>
  <c r="H9" i="1"/>
  <c r="H11" i="1"/>
  <c r="S11" i="1"/>
  <c r="H13" i="1"/>
  <c r="S13" i="1"/>
  <c r="H12" i="1"/>
  <c r="S12" i="1"/>
  <c r="O14" i="1"/>
  <c r="M14" i="1"/>
  <c r="O13" i="1"/>
  <c r="M13" i="1"/>
  <c r="O12" i="1"/>
  <c r="M12" i="1"/>
  <c r="P11" i="1"/>
  <c r="R11" i="1" s="1"/>
  <c r="N11" i="1"/>
  <c r="N10" i="1"/>
  <c r="Q10" i="1" s="1"/>
  <c r="P10" i="1"/>
  <c r="P12" i="1"/>
  <c r="N12" i="1"/>
  <c r="P13" i="1"/>
  <c r="N13" i="1"/>
  <c r="Q13" i="1" s="1"/>
  <c r="L14" i="1"/>
  <c r="M17" i="1"/>
  <c r="Q17" i="1" s="1"/>
  <c r="AD17" i="1" s="1"/>
  <c r="O17" i="1"/>
  <c r="R17" i="1" s="1"/>
  <c r="F13" i="1"/>
  <c r="F10" i="1"/>
  <c r="F12" i="1"/>
  <c r="F11" i="1"/>
  <c r="AV8" i="1"/>
  <c r="J14" i="1"/>
  <c r="N17" i="1"/>
  <c r="P17" i="1"/>
  <c r="J19" i="1"/>
  <c r="AD15" i="4" l="1"/>
  <c r="AD4" i="1"/>
  <c r="R10" i="1"/>
  <c r="AU10" i="1" s="1"/>
  <c r="S10" i="1"/>
  <c r="T10" i="1" s="1"/>
  <c r="T11" i="1" s="1"/>
  <c r="T12" i="1" s="1"/>
  <c r="T13" i="1" s="1"/>
  <c r="R13" i="1"/>
  <c r="T9" i="1"/>
  <c r="H14" i="1"/>
  <c r="S14" i="1"/>
  <c r="R12" i="1"/>
  <c r="N14" i="1"/>
  <c r="P14" i="1"/>
  <c r="R14" i="1" s="1"/>
  <c r="Q11" i="1"/>
  <c r="U9" i="1"/>
  <c r="AE9" i="1" s="1"/>
  <c r="AT17" i="1"/>
  <c r="F14" i="1"/>
  <c r="L18" i="1"/>
  <c r="J18" i="1"/>
  <c r="L19" i="1"/>
  <c r="N19" i="1" s="1"/>
  <c r="O19" i="1"/>
  <c r="M19" i="1"/>
  <c r="U17" i="1"/>
  <c r="AU17" i="1"/>
  <c r="AE15" i="4" l="1"/>
  <c r="AE4" i="1"/>
  <c r="T14" i="1"/>
  <c r="Q14" i="1"/>
  <c r="AT14" i="1" s="1"/>
  <c r="BA17" i="1"/>
  <c r="AK17" i="1" s="1"/>
  <c r="AW17" i="1"/>
  <c r="R19" i="1"/>
  <c r="AU19" i="1" s="1"/>
  <c r="Q19" i="1"/>
  <c r="AT19" i="1" s="1"/>
  <c r="Q12" i="1"/>
  <c r="AT12" i="1" s="1"/>
  <c r="AD11" i="1"/>
  <c r="AT13" i="1"/>
  <c r="BA10" i="1"/>
  <c r="AU9" i="1"/>
  <c r="P19" i="1"/>
  <c r="L20" i="1"/>
  <c r="J20" i="1"/>
  <c r="O18" i="1"/>
  <c r="M18" i="1"/>
  <c r="Q18" i="1" s="1"/>
  <c r="N18" i="1"/>
  <c r="AE17" i="1"/>
  <c r="AT11" i="1"/>
  <c r="AU15" i="4" l="1"/>
  <c r="R18" i="1"/>
  <c r="AU18" i="1" s="1"/>
  <c r="BB9" i="1"/>
  <c r="AW9" i="1"/>
  <c r="AD18" i="1"/>
  <c r="AU13" i="1"/>
  <c r="BA13" i="1" s="1"/>
  <c r="U13" i="1"/>
  <c r="AE13" i="1" s="1"/>
  <c r="AD19" i="1"/>
  <c r="AY17" i="1"/>
  <c r="AI17" i="1" s="1"/>
  <c r="AG17" i="1"/>
  <c r="AD10" i="1"/>
  <c r="AW19" i="1"/>
  <c r="BA19" i="1"/>
  <c r="AK19" i="1" s="1"/>
  <c r="AX17" i="1"/>
  <c r="AD12" i="1"/>
  <c r="AD13" i="1"/>
  <c r="U19" i="1"/>
  <c r="AT10" i="1"/>
  <c r="U14" i="1"/>
  <c r="AE14" i="1" s="1"/>
  <c r="AU12" i="1"/>
  <c r="BA12" i="1" s="1"/>
  <c r="U12" i="1"/>
  <c r="AE12" i="1" s="1"/>
  <c r="AD14" i="1"/>
  <c r="U10" i="1"/>
  <c r="AE10" i="1" s="1"/>
  <c r="BA9" i="1"/>
  <c r="U11" i="1"/>
  <c r="AE11" i="1" s="1"/>
  <c r="AU11" i="1"/>
  <c r="BA11" i="1" s="1"/>
  <c r="AU14" i="1"/>
  <c r="AW10" i="1"/>
  <c r="AT18" i="1"/>
  <c r="J21" i="1"/>
  <c r="L21" i="1"/>
  <c r="N20" i="1"/>
  <c r="P20" i="1"/>
  <c r="M20" i="1"/>
  <c r="Q20" i="1" s="1"/>
  <c r="O20" i="1"/>
  <c r="R20" i="1" s="1"/>
  <c r="AX10" i="1"/>
  <c r="AZ10" i="1" s="1"/>
  <c r="BA18" i="1" l="1"/>
  <c r="AX18" i="1" s="1"/>
  <c r="AW18" i="1"/>
  <c r="U18" i="1"/>
  <c r="AG9" i="1"/>
  <c r="AW15" i="4"/>
  <c r="AK9" i="1"/>
  <c r="BA15" i="4"/>
  <c r="AX9" i="1"/>
  <c r="AW13" i="1"/>
  <c r="AY13" i="1" s="1"/>
  <c r="AX19" i="1"/>
  <c r="AH19" i="1" s="1"/>
  <c r="AH17" i="1"/>
  <c r="AZ17" i="1"/>
  <c r="AJ17" i="1" s="1"/>
  <c r="AG19" i="1"/>
  <c r="AY19" i="1"/>
  <c r="AW11" i="1"/>
  <c r="AY11" i="1" s="1"/>
  <c r="AW12" i="1"/>
  <c r="AY12" i="1" s="1"/>
  <c r="AE19" i="1"/>
  <c r="AY9" i="1"/>
  <c r="AX11" i="1"/>
  <c r="AZ11" i="1" s="1"/>
  <c r="AW14" i="1"/>
  <c r="BA14" i="1"/>
  <c r="AX14" i="1" s="1"/>
  <c r="AZ14" i="1" s="1"/>
  <c r="AY10" i="1"/>
  <c r="AG10" i="1"/>
  <c r="AK12" i="1"/>
  <c r="AX13" i="1"/>
  <c r="AZ13" i="1" s="1"/>
  <c r="AX12" i="1"/>
  <c r="AZ12" i="1" s="1"/>
  <c r="AK10" i="1"/>
  <c r="AK13" i="1"/>
  <c r="AK11" i="1"/>
  <c r="AU20" i="1"/>
  <c r="U20" i="1"/>
  <c r="N21" i="1"/>
  <c r="M21" i="1"/>
  <c r="Q21" i="1" s="1"/>
  <c r="O21" i="1"/>
  <c r="R21" i="1" s="1"/>
  <c r="P21" i="1"/>
  <c r="AT20" i="1"/>
  <c r="AD20" i="1"/>
  <c r="L22" i="1"/>
  <c r="J22" i="1"/>
  <c r="L23" i="1"/>
  <c r="AG15" i="4" l="1"/>
  <c r="AG4" i="1"/>
  <c r="AK15" i="4"/>
  <c r="AK4" i="1"/>
  <c r="AZ18" i="1"/>
  <c r="BC18" i="1"/>
  <c r="AI9" i="1"/>
  <c r="AY15" i="4"/>
  <c r="AX15" i="4"/>
  <c r="AZ9" i="1"/>
  <c r="AH9" i="1"/>
  <c r="AI19" i="1"/>
  <c r="AZ19" i="1"/>
  <c r="AJ19" i="1" s="1"/>
  <c r="AG13" i="1"/>
  <c r="W14" i="1"/>
  <c r="AK18" i="1"/>
  <c r="AW20" i="1"/>
  <c r="BA20" i="1"/>
  <c r="AK20" i="1" s="1"/>
  <c r="W17" i="1"/>
  <c r="AY14" i="1"/>
  <c r="AI14" i="1" s="1"/>
  <c r="AG14" i="1"/>
  <c r="W11" i="1"/>
  <c r="Y11" i="1" s="1"/>
  <c r="AG12" i="1"/>
  <c r="AG11" i="1"/>
  <c r="AH10" i="1"/>
  <c r="AK14" i="1"/>
  <c r="AE18" i="1"/>
  <c r="AH12" i="1"/>
  <c r="W10" i="1"/>
  <c r="Y10" i="1" s="1"/>
  <c r="AI13" i="1"/>
  <c r="AI12" i="1"/>
  <c r="AI10" i="1"/>
  <c r="AH14" i="1"/>
  <c r="W13" i="1"/>
  <c r="AH13" i="1"/>
  <c r="AI11" i="1"/>
  <c r="AH11" i="1"/>
  <c r="AU21" i="1"/>
  <c r="U21" i="1"/>
  <c r="AD21" i="1"/>
  <c r="AT21" i="1"/>
  <c r="J23" i="1"/>
  <c r="O22" i="1"/>
  <c r="R22" i="1" s="1"/>
  <c r="M22" i="1"/>
  <c r="Q22" i="1" s="1"/>
  <c r="N22" i="1"/>
  <c r="P22" i="1"/>
  <c r="AE20" i="1"/>
  <c r="AI15" i="4" l="1"/>
  <c r="AI4" i="1"/>
  <c r="AH15" i="4"/>
  <c r="AH4" i="1"/>
  <c r="AJ10" i="1"/>
  <c r="AZ15" i="4"/>
  <c r="W9" i="1"/>
  <c r="AJ9" i="1"/>
  <c r="W19" i="1"/>
  <c r="AV19" i="1" s="1"/>
  <c r="AX20" i="1"/>
  <c r="AH20" i="1" s="1"/>
  <c r="AH18" i="1"/>
  <c r="AY20" i="1"/>
  <c r="AI20" i="1" s="1"/>
  <c r="AG20" i="1"/>
  <c r="AV11" i="1"/>
  <c r="Y17" i="1"/>
  <c r="X17" i="1"/>
  <c r="AF17" i="1" s="1"/>
  <c r="AV17" i="1"/>
  <c r="BA21" i="1"/>
  <c r="AK21" i="1" s="1"/>
  <c r="AW21" i="1"/>
  <c r="AG18" i="1"/>
  <c r="AY18" i="1"/>
  <c r="AI18" i="1" s="1"/>
  <c r="N23" i="1"/>
  <c r="M23" i="1"/>
  <c r="Q23" i="1" s="1"/>
  <c r="AJ12" i="1"/>
  <c r="W12" i="1"/>
  <c r="X13" i="1" s="1"/>
  <c r="AF13" i="1" s="1"/>
  <c r="Y14" i="1"/>
  <c r="X14" i="1"/>
  <c r="AF14" i="1" s="1"/>
  <c r="AV14" i="1"/>
  <c r="Y13" i="1"/>
  <c r="AV13" i="1"/>
  <c r="AJ11" i="1"/>
  <c r="AJ13" i="1"/>
  <c r="AJ14" i="1"/>
  <c r="AE21" i="1"/>
  <c r="AD22" i="1"/>
  <c r="AT22" i="1"/>
  <c r="U22" i="1"/>
  <c r="AU22" i="1"/>
  <c r="P23" i="1"/>
  <c r="O23" i="1"/>
  <c r="R23" i="1" s="1"/>
  <c r="AJ15" i="4" l="1"/>
  <c r="AJ4" i="1"/>
  <c r="AV9" i="1"/>
  <c r="AV15" i="4" s="1"/>
  <c r="Y9" i="1"/>
  <c r="Z9" i="1" s="1"/>
  <c r="X10" i="1"/>
  <c r="AF10" i="1" s="1"/>
  <c r="X9" i="1"/>
  <c r="AF9" i="1" s="1"/>
  <c r="AZ20" i="1"/>
  <c r="AJ20" i="1" s="1"/>
  <c r="Y19" i="1"/>
  <c r="X19" i="1"/>
  <c r="AF19" i="1" s="1"/>
  <c r="AJ18" i="1"/>
  <c r="AX21" i="1"/>
  <c r="AW22" i="1"/>
  <c r="BA22" i="1"/>
  <c r="AK22" i="1" s="1"/>
  <c r="AG21" i="1"/>
  <c r="AY21" i="1"/>
  <c r="AI21" i="1" s="1"/>
  <c r="AV10" i="1"/>
  <c r="Z14" i="1"/>
  <c r="X11" i="1"/>
  <c r="AF11" i="1" s="1"/>
  <c r="Y12" i="1"/>
  <c r="Z12" i="1" s="1"/>
  <c r="X12" i="1"/>
  <c r="AF12" i="1" s="1"/>
  <c r="AV12" i="1"/>
  <c r="AE22" i="1"/>
  <c r="AT23" i="1"/>
  <c r="AD23" i="1"/>
  <c r="AU23" i="1"/>
  <c r="U23" i="1"/>
  <c r="AF15" i="4" l="1"/>
  <c r="AF4" i="1"/>
  <c r="Z10" i="1"/>
  <c r="W20" i="1"/>
  <c r="Y20" i="1" s="1"/>
  <c r="W18" i="1"/>
  <c r="AX22" i="1"/>
  <c r="AH22" i="1" s="1"/>
  <c r="AY22" i="1"/>
  <c r="AI22" i="1" s="1"/>
  <c r="AG22" i="1"/>
  <c r="AH21" i="1"/>
  <c r="AZ21" i="1"/>
  <c r="AJ21" i="1" s="1"/>
  <c r="BA23" i="1"/>
  <c r="AK23" i="1" s="1"/>
  <c r="AW23" i="1"/>
  <c r="Z13" i="1"/>
  <c r="Z11" i="1"/>
  <c r="AE23" i="1"/>
  <c r="X20" i="1" l="1"/>
  <c r="AF20" i="1" s="1"/>
  <c r="AV20" i="1"/>
  <c r="X18" i="1"/>
  <c r="AF18" i="1" s="1"/>
  <c r="AV18" i="1"/>
  <c r="Y18" i="1"/>
  <c r="AZ22" i="1"/>
  <c r="AJ22" i="1" s="1"/>
  <c r="AX23" i="1"/>
  <c r="AH23" i="1" s="1"/>
  <c r="W21" i="1"/>
  <c r="AY23" i="1"/>
  <c r="AI23" i="1" s="1"/>
  <c r="AG23" i="1"/>
  <c r="W22" i="1" l="1"/>
  <c r="X22" i="1" s="1"/>
  <c r="AF22" i="1" s="1"/>
  <c r="AZ23" i="1"/>
  <c r="AJ23" i="1" s="1"/>
  <c r="X21" i="1"/>
  <c r="AF21" i="1" s="1"/>
  <c r="AV21" i="1"/>
  <c r="Y21" i="1"/>
  <c r="W23" i="1" l="1"/>
  <c r="AV23" i="1" s="1"/>
  <c r="AV22" i="1"/>
  <c r="Y22" i="1"/>
  <c r="Y23" i="1" l="1"/>
  <c r="X23" i="1"/>
  <c r="AF23" i="1" s="1"/>
  <c r="AD3" i="1" l="1"/>
  <c r="AE3" i="1"/>
  <c r="AJ3" i="1" l="1"/>
  <c r="AF3" i="1"/>
  <c r="AK3" i="1" l="1"/>
  <c r="AH3" i="1" l="1"/>
  <c r="AG3" i="1"/>
  <c r="AI3" i="1" l="1"/>
</calcChain>
</file>

<file path=xl/sharedStrings.xml><?xml version="1.0" encoding="utf-8"?>
<sst xmlns="http://schemas.openxmlformats.org/spreadsheetml/2006/main" count="394" uniqueCount="77">
  <si>
    <t>-</t>
  </si>
  <si>
    <t xml:space="preserve">FSL </t>
  </si>
  <si>
    <t>GST</t>
  </si>
  <si>
    <t>SD</t>
  </si>
  <si>
    <t>Expiry Date</t>
  </si>
  <si>
    <t>Policy Effective date</t>
  </si>
  <si>
    <t>Pre Tax Net Change</t>
  </si>
  <si>
    <t>Policy Period</t>
  </si>
  <si>
    <t>Burnt Days</t>
  </si>
  <si>
    <t>Remaining Days</t>
  </si>
  <si>
    <t>Action</t>
  </si>
  <si>
    <t>NB</t>
  </si>
  <si>
    <t>End 1</t>
  </si>
  <si>
    <t>End 2</t>
  </si>
  <si>
    <t>End 3</t>
  </si>
  <si>
    <t>End 6</t>
  </si>
  <si>
    <t>End 4</t>
  </si>
  <si>
    <t>End 5</t>
  </si>
  <si>
    <t>Pre Tax - Burnt Premium</t>
  </si>
  <si>
    <t>Pre tax - Remaining Days prem</t>
  </si>
  <si>
    <t>Pre Tax - Current term</t>
  </si>
  <si>
    <t>Post Tax - Full term</t>
  </si>
  <si>
    <t>Risk - Burnt Premium</t>
  </si>
  <si>
    <t>Risk - Remaining Days prem</t>
  </si>
  <si>
    <t>Risk - Current term</t>
  </si>
  <si>
    <t>NC Risk Premium</t>
  </si>
  <si>
    <t>NC PreTax Premium</t>
  </si>
  <si>
    <t>NC Commission</t>
  </si>
  <si>
    <t>NC GST</t>
  </si>
  <si>
    <t>NC GST on Commission</t>
  </si>
  <si>
    <t>NC Stamp Duty</t>
  </si>
  <si>
    <t>NC FSL</t>
  </si>
  <si>
    <t>FT Risk Premium</t>
  </si>
  <si>
    <t>FT Pre Tax</t>
  </si>
  <si>
    <t>FT Post Tax</t>
  </si>
  <si>
    <t>FT Commission</t>
  </si>
  <si>
    <t>FT GST</t>
  </si>
  <si>
    <t>FT GST on Commission</t>
  </si>
  <si>
    <t>FT Stamp Duty</t>
  </si>
  <si>
    <t>FT FSL</t>
  </si>
  <si>
    <t>CT Risk Premium</t>
  </si>
  <si>
    <t>CT Pre Tax</t>
  </si>
  <si>
    <t>CT Post Tax</t>
  </si>
  <si>
    <t>CT Commission</t>
  </si>
  <si>
    <t>CT GST</t>
  </si>
  <si>
    <t>CT GST on Commission</t>
  </si>
  <si>
    <t>CT Stamp Duty</t>
  </si>
  <si>
    <t>CT FSL</t>
  </si>
  <si>
    <t>Post Tax Current Term</t>
  </si>
  <si>
    <t>Post tax Net Change</t>
  </si>
  <si>
    <t>NC Post Tax Premium</t>
  </si>
  <si>
    <t>Broker Commission</t>
  </si>
  <si>
    <t>Cancel after end 2</t>
  </si>
  <si>
    <t>Cancel after end 1</t>
  </si>
  <si>
    <t>Cancel after end 3</t>
  </si>
  <si>
    <t>Cancel after end 4</t>
  </si>
  <si>
    <t>Cancel after end 5</t>
  </si>
  <si>
    <t>Cancel after end 6</t>
  </si>
  <si>
    <t>End/Cancel eff date</t>
  </si>
  <si>
    <t>Cancel after NB</t>
  </si>
  <si>
    <t>A.Fee</t>
  </si>
  <si>
    <t>Post tax Net Change with Fee</t>
  </si>
  <si>
    <t>Post Tax Current Term with fee</t>
  </si>
  <si>
    <t>NC Afee</t>
  </si>
  <si>
    <t>NC Afee GST</t>
  </si>
  <si>
    <t>Pre Tax Full term
(Annual)</t>
  </si>
  <si>
    <t>Risk Premium Full Term
(Annual)</t>
  </si>
  <si>
    <t>Annual</t>
  </si>
  <si>
    <t>FT Risk Premium
(Tenure)</t>
  </si>
  <si>
    <t>FT Pre Tax
(Tenure)</t>
  </si>
  <si>
    <t>Pre Tax - Current term
(Client's way)</t>
  </si>
  <si>
    <t>Pre Tax - Current term
(Not Rounded - Client Way)</t>
  </si>
  <si>
    <t>CT Risk</t>
  </si>
  <si>
    <t>CT PreTax</t>
  </si>
  <si>
    <t>CT SD</t>
  </si>
  <si>
    <t>CT Commission GST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</si>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</sst>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* #,##0.00_);_(* \(#,##0.00\);_(* &quot;-&quot;??_);_(@_)"/>
    <numFmt numFmtId="165" formatCode="_-* #,##0.0000_-;\-* #,##0.0000_-;_-* &quot;-&quot;??_-;_-@_-"/>
    <numFmt numFmtId="166" formatCode="[$-409]d\-mmm\-yy;@"/>
    <numFmt numFmtId="167" formatCode="_(* #,##0.0000_);_(* \(#,##0.0000\);_(* &quot;-&quot;????_);_(@_)"/>
    <numFmt numFmtId="168" formatCode="0.000000"/>
    <numFmt numFmtId="169" formatCode="0.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2" fontId="0" fillId="0" borderId="0" xfId="0" applyNumberFormat="1"/>
    <xf numFmtId="2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 wrapText="1"/>
    </xf>
    <xf numFmtId="165" fontId="3" fillId="4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67" fontId="0" fillId="0" borderId="1" xfId="0" applyNumberFormat="1" applyBorder="1"/>
    <xf numFmtId="2" fontId="0" fillId="0" borderId="1" xfId="0" applyNumberFormat="1" applyBorder="1"/>
    <xf numFmtId="2" fontId="2" fillId="5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ill="1" applyBorder="1"/>
    <xf numFmtId="0" fontId="2" fillId="0" borderId="1" xfId="0" applyFont="1" applyFill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2" fillId="0" borderId="1" xfId="0" applyFont="1" applyFill="1" applyBorder="1" applyAlignment="1">
      <alignment horizontal="center" vertical="center"/>
    </xf>
    <xf numFmtId="168" fontId="0" fillId="0" borderId="0" xfId="0" applyNumberFormat="1"/>
    <xf numFmtId="2" fontId="0" fillId="6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69" fontId="0" fillId="3" borderId="1" xfId="0" applyNumberFormat="1" applyFill="1" applyBorder="1" applyAlignment="1">
      <alignment horizontal="center" vertical="center"/>
    </xf>
    <xf numFmtId="169" fontId="0" fillId="0" borderId="1" xfId="0" applyNumberFormat="1" applyFont="1" applyBorder="1" applyAlignment="1">
      <alignment horizontal="center" vertical="center"/>
    </xf>
    <xf numFmtId="0" fontId="4" fillId="0" borderId="0" xfId="2"/>
    <xf numFmtId="4" fontId="0" fillId="0" borderId="0" xfId="0" applyNumberFormat="1"/>
    <xf numFmtId="0" fontId="2" fillId="0" borderId="0" xfId="0" applyFon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rbhi.sarna/Documents/work/BZ/quantium%20sheets/Home%20&amp;%20Contents%20-%20Rating%20Structure%20-%20Pre-Calibration_v0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emium%20calculation%20PaaS%20N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Control"/>
      <sheetName val="BZ feedback 12.2.18"/>
      <sheetName val="Overview"/>
      <sheetName val="Valuables - LE Base"/>
      <sheetName val="Valuables - LE"/>
      <sheetName val="Valuables - AD"/>
      <sheetName val="Valuables_Limits"/>
      <sheetName val="Inputs_Buildings&amp;Contents"/>
      <sheetName val="Buildings_Relativities"/>
      <sheetName val="Contents_Relativities"/>
      <sheetName val="Building_Interactions"/>
      <sheetName val="Contents_Interactions"/>
      <sheetName val="BusExt_Relativities"/>
      <sheetName val="Tax_Relativities"/>
      <sheetName val="Calc_Buildings"/>
      <sheetName val="Calc_Contents"/>
      <sheetName val="Discounts_Loadings"/>
      <sheetName val="Calc_To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D3" t="str">
            <v xml:space="preserve">Emergency Services Levy </v>
          </cell>
          <cell r="E3" t="str">
            <v>Relativity</v>
          </cell>
          <cell r="G3" t="str">
            <v>GST</v>
          </cell>
          <cell r="H3" t="str">
            <v>Relativity</v>
          </cell>
          <cell r="J3" t="str">
            <v xml:space="preserve">Insurance Stamp Duty </v>
          </cell>
          <cell r="K3" t="str">
            <v>Relativity</v>
          </cell>
        </row>
        <row r="4">
          <cell r="D4" t="str">
            <v>ACT</v>
          </cell>
          <cell r="E4">
            <v>1</v>
          </cell>
          <cell r="G4" t="str">
            <v>ACT</v>
          </cell>
          <cell r="H4">
            <v>1.1000000000000001</v>
          </cell>
          <cell r="J4" t="str">
            <v>ACT</v>
          </cell>
          <cell r="K4">
            <v>1</v>
          </cell>
        </row>
        <row r="5">
          <cell r="D5" t="str">
            <v>NSW</v>
          </cell>
          <cell r="E5">
            <v>1.36</v>
          </cell>
          <cell r="G5" t="str">
            <v>NSW</v>
          </cell>
          <cell r="H5">
            <v>1.1000000000000001</v>
          </cell>
          <cell r="J5" t="str">
            <v>NSW</v>
          </cell>
          <cell r="K5">
            <v>1.0900000000000001</v>
          </cell>
        </row>
        <row r="6">
          <cell r="D6" t="str">
            <v>NT</v>
          </cell>
          <cell r="E6">
            <v>1</v>
          </cell>
          <cell r="G6" t="str">
            <v>NT</v>
          </cell>
          <cell r="H6">
            <v>1.1000000000000001</v>
          </cell>
          <cell r="J6" t="str">
            <v>NT</v>
          </cell>
          <cell r="K6">
            <v>1.1000000000000001</v>
          </cell>
        </row>
        <row r="7">
          <cell r="D7" t="str">
            <v>QLD</v>
          </cell>
          <cell r="E7">
            <v>1</v>
          </cell>
          <cell r="G7" t="str">
            <v>QLD</v>
          </cell>
          <cell r="H7">
            <v>1.1000000000000001</v>
          </cell>
          <cell r="J7" t="str">
            <v>QLD</v>
          </cell>
          <cell r="K7">
            <v>1.0900000000000001</v>
          </cell>
        </row>
        <row r="8">
          <cell r="D8" t="str">
            <v>SA</v>
          </cell>
          <cell r="E8">
            <v>1</v>
          </cell>
          <cell r="G8" t="str">
            <v>SA</v>
          </cell>
          <cell r="H8">
            <v>1.1000000000000001</v>
          </cell>
          <cell r="J8" t="str">
            <v>SA</v>
          </cell>
          <cell r="K8">
            <v>1.1100000000000001</v>
          </cell>
        </row>
        <row r="9">
          <cell r="D9" t="str">
            <v>TAS</v>
          </cell>
          <cell r="E9">
            <v>1.28</v>
          </cell>
          <cell r="G9" t="str">
            <v>TAS</v>
          </cell>
          <cell r="H9">
            <v>1.1000000000000001</v>
          </cell>
          <cell r="J9" t="str">
            <v>TAS</v>
          </cell>
          <cell r="K9">
            <v>1.1000000000000001</v>
          </cell>
        </row>
        <row r="10">
          <cell r="D10" t="str">
            <v>VIC</v>
          </cell>
          <cell r="E10">
            <v>1</v>
          </cell>
          <cell r="G10" t="str">
            <v>VIC</v>
          </cell>
          <cell r="H10">
            <v>1.1000000000000001</v>
          </cell>
          <cell r="J10" t="str">
            <v>VIC</v>
          </cell>
          <cell r="K10">
            <v>1.1000000000000001</v>
          </cell>
        </row>
        <row r="11">
          <cell r="D11" t="str">
            <v>WA</v>
          </cell>
          <cell r="E11">
            <v>1</v>
          </cell>
          <cell r="G11" t="str">
            <v>WA</v>
          </cell>
          <cell r="H11">
            <v>1.1000000000000001</v>
          </cell>
          <cell r="J11" t="str">
            <v>WA</v>
          </cell>
          <cell r="K11">
            <v>1.1000000000000001</v>
          </cell>
        </row>
      </sheetData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 1"/>
      <sheetName val="Risk 2"/>
      <sheetName val="Risk 3"/>
      <sheetName val="Risk 4"/>
      <sheetName val="Risk 5"/>
      <sheetName val="Total"/>
    </sheetNames>
    <sheetDataSet>
      <sheetData sheetId="0">
        <row r="5">
          <cell r="G5">
            <v>1018.6</v>
          </cell>
        </row>
        <row r="21">
          <cell r="D21">
            <v>1212.6199999999999</v>
          </cell>
        </row>
        <row r="22">
          <cell r="D22">
            <v>181.89</v>
          </cell>
        </row>
        <row r="23">
          <cell r="D23">
            <v>0</v>
          </cell>
        </row>
        <row r="24">
          <cell r="D24">
            <v>121.26</v>
          </cell>
        </row>
        <row r="25">
          <cell r="D25">
            <v>146.72999999999999</v>
          </cell>
        </row>
        <row r="26">
          <cell r="D26">
            <v>18.190000000000001</v>
          </cell>
        </row>
        <row r="28">
          <cell r="D28">
            <v>1480.61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jsonviewer.stack.h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3"/>
  <sheetViews>
    <sheetView tabSelected="1" zoomScaleNormal="100" workbookViewId="0">
      <pane ySplit="7" topLeftCell="A8" activePane="bottomLeft" state="frozen"/>
      <selection pane="bottomLeft" activeCell="J11" sqref="J11"/>
    </sheetView>
  </sheetViews>
  <sheetFormatPr defaultRowHeight="15" x14ac:dyDescent="0.25"/>
  <cols>
    <col min="1" max="1" width="17" bestFit="1" customWidth="1"/>
    <col min="2" max="2" width="10.28515625" bestFit="1" customWidth="1"/>
    <col min="3" max="4" width="11" bestFit="1" customWidth="1"/>
    <col min="5" max="5" width="22.28515625" bestFit="1" customWidth="1"/>
    <col min="6" max="6" width="13.28515625" bestFit="1" customWidth="1"/>
    <col min="7" max="7" width="16" bestFit="1" customWidth="1"/>
    <col min="8" max="8" width="16" style="1" bestFit="1" customWidth="1"/>
    <col min="9" max="9" width="6.42578125" style="1" bestFit="1" customWidth="1"/>
    <col min="10" max="10" width="12.5703125" style="1" bestFit="1" customWidth="1"/>
    <col min="11" max="11" width="10.42578125" style="1" bestFit="1" customWidth="1"/>
    <col min="12" max="12" width="15.140625" style="1" bestFit="1" customWidth="1"/>
    <col min="13" max="13" width="11.85546875" style="1" bestFit="1" customWidth="1"/>
    <col min="14" max="14" width="10.28515625" style="1" customWidth="1"/>
    <col min="15" max="15" width="9.7109375" style="1" bestFit="1" customWidth="1"/>
    <col min="16" max="18" width="11.7109375" style="1" bestFit="1" customWidth="1"/>
    <col min="19" max="19" width="16" style="1" bestFit="1" customWidth="1"/>
    <col min="20" max="20" width="15.7109375" style="1" customWidth="1"/>
    <col min="21" max="21" width="8.42578125" style="1" bestFit="1" customWidth="1"/>
    <col min="22" max="22" width="9.42578125" style="1" bestFit="1" customWidth="1"/>
    <col min="23" max="24" width="8.42578125" style="1" bestFit="1" customWidth="1"/>
    <col min="25" max="26" width="8.42578125" style="1" customWidth="1"/>
    <col min="27" max="27" width="3.85546875" style="1" customWidth="1"/>
    <col min="28" max="28" width="8.28515625" style="1" bestFit="1" customWidth="1"/>
    <col min="29" max="29" width="8.28515625" style="1" customWidth="1"/>
    <col min="30" max="30" width="9.140625" style="1" bestFit="1" customWidth="1"/>
    <col min="31" max="31" width="10" style="1" bestFit="1" customWidth="1"/>
    <col min="32" max="32" width="9.140625" style="1" bestFit="1" customWidth="1"/>
    <col min="33" max="33" width="11.85546875" style="1" bestFit="1" customWidth="1"/>
    <col min="34" max="34" width="7.42578125" style="1" bestFit="1" customWidth="1"/>
    <col min="35" max="35" width="11.85546875" style="1" bestFit="1" customWidth="1"/>
    <col min="36" max="36" width="9.5703125" style="1" bestFit="1" customWidth="1"/>
    <col min="37" max="37" width="7.42578125" style="1" bestFit="1" customWidth="1"/>
    <col min="38" max="38" width="9.140625" style="1" bestFit="1" customWidth="1"/>
    <col min="39" max="39" width="9.85546875" style="1" bestFit="1" customWidth="1"/>
    <col min="40" max="40" width="10.7109375" style="1" bestFit="1" customWidth="1"/>
    <col min="41" max="41" width="11.85546875" style="1" bestFit="1" customWidth="1"/>
    <col min="42" max="42" width="8.7109375" style="1" bestFit="1" customWidth="1"/>
    <col min="43" max="43" width="11.85546875" style="1" customWidth="1"/>
    <col min="44" max="45" width="9.7109375" style="1" bestFit="1" customWidth="1"/>
    <col min="46" max="46" width="9.140625" style="1" bestFit="1" customWidth="1"/>
    <col min="47" max="47" width="10" style="1" bestFit="1" customWidth="1"/>
    <col min="48" max="48" width="10.7109375" style="1" bestFit="1" customWidth="1"/>
    <col min="49" max="49" width="11.85546875" style="1" bestFit="1" customWidth="1"/>
    <col min="50" max="50" width="8.7109375" style="1" bestFit="1" customWidth="1"/>
    <col min="51" max="51" width="11.85546875" style="1" bestFit="1" customWidth="1"/>
    <col min="52" max="52" width="9.140625" style="1" bestFit="1" customWidth="1"/>
    <col min="53" max="53" width="6.5703125" style="1" bestFit="1" customWidth="1"/>
    <col min="54" max="54" width="13.28515625" style="1" bestFit="1" customWidth="1"/>
    <col min="55" max="57" width="14.85546875" customWidth="1"/>
    <col min="58" max="58" width="5.140625" bestFit="1" customWidth="1"/>
    <col min="59" max="59" width="8.140625" bestFit="1" customWidth="1"/>
  </cols>
  <sheetData>
    <row r="1" spans="1:54" x14ac:dyDescent="0.25">
      <c r="K1" s="37"/>
      <c r="L1" s="37"/>
      <c r="AI1" s="1">
        <v>99</v>
      </c>
    </row>
    <row r="2" spans="1:54" x14ac:dyDescent="0.25">
      <c r="K2" s="38"/>
      <c r="L2" s="38"/>
      <c r="AD2" s="36" t="s">
        <v>72</v>
      </c>
      <c r="AE2" s="36" t="s">
        <v>73</v>
      </c>
      <c r="AF2" s="36" t="s">
        <v>47</v>
      </c>
      <c r="AG2" s="36" t="s">
        <v>44</v>
      </c>
      <c r="AH2" s="36" t="s">
        <v>74</v>
      </c>
      <c r="AI2" s="36" t="s">
        <v>42</v>
      </c>
      <c r="AJ2" s="36" t="s">
        <v>43</v>
      </c>
      <c r="AK2" s="36" t="s">
        <v>75</v>
      </c>
    </row>
    <row r="3" spans="1:54" ht="30" customHeight="1" x14ac:dyDescent="0.25">
      <c r="J3" s="6" t="s">
        <v>1</v>
      </c>
      <c r="K3" s="6" t="s">
        <v>2</v>
      </c>
      <c r="L3" s="6" t="s">
        <v>3</v>
      </c>
      <c r="M3" s="6" t="s">
        <v>51</v>
      </c>
      <c r="AD3">
        <f>'[2]Risk 1'!$G$5</f>
        <v>1018.6</v>
      </c>
      <c r="AE3">
        <f>'[2]Risk 1'!$D$21</f>
        <v>1212.6199999999999</v>
      </c>
      <c r="AF3">
        <f>'[2]Risk 1'!$D$23</f>
        <v>0</v>
      </c>
      <c r="AG3">
        <f>'[2]Risk 1'!$D$24</f>
        <v>121.26</v>
      </c>
      <c r="AH3">
        <f>'[2]Risk 1'!$D$25</f>
        <v>146.72999999999999</v>
      </c>
      <c r="AI3">
        <f>'[2]Risk 1'!$D$28</f>
        <v>1480.61</v>
      </c>
      <c r="AJ3">
        <f>'[2]Risk 1'!$D$22</f>
        <v>181.89</v>
      </c>
      <c r="AK3">
        <f>'[2]Risk 1'!$D$26</f>
        <v>18.190000000000001</v>
      </c>
    </row>
    <row r="4" spans="1:54" x14ac:dyDescent="0.25">
      <c r="J4" s="7">
        <v>1.18</v>
      </c>
      <c r="K4" s="7">
        <v>1.1000000000000001</v>
      </c>
      <c r="L4" s="7">
        <v>1.0900000000000001</v>
      </c>
      <c r="M4" s="18">
        <v>0</v>
      </c>
      <c r="AD4" s="1">
        <f>0-AD9</f>
        <v>2091.1007370132634</v>
      </c>
      <c r="AE4" s="1">
        <f t="shared" ref="AE4:AK4" si="0">0-AE9</f>
        <v>2191.21</v>
      </c>
      <c r="AF4" s="1">
        <f t="shared" si="0"/>
        <v>3100.18</v>
      </c>
      <c r="AG4" s="1">
        <f t="shared" si="0"/>
        <v>0</v>
      </c>
      <c r="AH4" s="1">
        <f t="shared" si="0"/>
        <v>258.57</v>
      </c>
      <c r="AI4" s="1">
        <f t="shared" si="0"/>
        <v>0</v>
      </c>
      <c r="AJ4" s="1">
        <f t="shared" si="0"/>
        <v>255.98000000000002</v>
      </c>
      <c r="AK4" s="1">
        <f t="shared" si="0"/>
        <v>394.41999999999996</v>
      </c>
      <c r="AV4" s="29"/>
    </row>
    <row r="5" spans="1:54" x14ac:dyDescent="0.25">
      <c r="J5" s="15">
        <f>J4-1</f>
        <v>0.17999999999999994</v>
      </c>
      <c r="K5" s="15">
        <f>K4-1</f>
        <v>0.10000000000000009</v>
      </c>
      <c r="L5" s="15">
        <f>L4-1</f>
        <v>9.000000000000008E-2</v>
      </c>
      <c r="M5" s="16"/>
    </row>
    <row r="6" spans="1:54" x14ac:dyDescent="0.25">
      <c r="AL6" s="39" t="s">
        <v>67</v>
      </c>
      <c r="AM6" s="40"/>
      <c r="AN6" s="40"/>
      <c r="AO6" s="40"/>
      <c r="AP6" s="40"/>
      <c r="AQ6" s="40"/>
      <c r="AR6" s="40"/>
      <c r="AS6" s="41"/>
    </row>
    <row r="7" spans="1:54" ht="75" x14ac:dyDescent="0.25">
      <c r="A7" s="5" t="s">
        <v>10</v>
      </c>
      <c r="B7" s="4" t="s">
        <v>5</v>
      </c>
      <c r="C7" s="4" t="s">
        <v>4</v>
      </c>
      <c r="D7" s="4" t="s">
        <v>58</v>
      </c>
      <c r="E7" s="4" t="s">
        <v>66</v>
      </c>
      <c r="F7" s="4" t="s">
        <v>68</v>
      </c>
      <c r="G7" s="6" t="s">
        <v>65</v>
      </c>
      <c r="H7" s="6" t="s">
        <v>69</v>
      </c>
      <c r="I7" s="2" t="s">
        <v>60</v>
      </c>
      <c r="J7" s="6" t="s">
        <v>7</v>
      </c>
      <c r="K7" s="6" t="s">
        <v>8</v>
      </c>
      <c r="L7" s="6" t="s">
        <v>9</v>
      </c>
      <c r="M7" s="6" t="s">
        <v>22</v>
      </c>
      <c r="N7" s="6" t="s">
        <v>23</v>
      </c>
      <c r="O7" s="6" t="s">
        <v>18</v>
      </c>
      <c r="P7" s="6" t="s">
        <v>19</v>
      </c>
      <c r="Q7" s="6" t="s">
        <v>24</v>
      </c>
      <c r="R7" s="6" t="s">
        <v>20</v>
      </c>
      <c r="S7" s="6" t="s">
        <v>71</v>
      </c>
      <c r="T7" s="6" t="s">
        <v>70</v>
      </c>
      <c r="U7" s="6" t="s">
        <v>6</v>
      </c>
      <c r="V7" s="6" t="s">
        <v>21</v>
      </c>
      <c r="W7" s="6" t="s">
        <v>48</v>
      </c>
      <c r="X7" s="6" t="s">
        <v>49</v>
      </c>
      <c r="Y7" s="6" t="s">
        <v>62</v>
      </c>
      <c r="Z7" s="6" t="s">
        <v>61</v>
      </c>
      <c r="AA7" s="17"/>
      <c r="AB7" s="6" t="s">
        <v>63</v>
      </c>
      <c r="AC7" s="6" t="s">
        <v>64</v>
      </c>
      <c r="AD7" s="6" t="s">
        <v>25</v>
      </c>
      <c r="AE7" s="6" t="s">
        <v>26</v>
      </c>
      <c r="AF7" s="6" t="s">
        <v>50</v>
      </c>
      <c r="AG7" s="6" t="s">
        <v>27</v>
      </c>
      <c r="AH7" s="6" t="s">
        <v>28</v>
      </c>
      <c r="AI7" s="6" t="s">
        <v>29</v>
      </c>
      <c r="AJ7" s="6" t="s">
        <v>30</v>
      </c>
      <c r="AK7" s="6" t="s">
        <v>31</v>
      </c>
      <c r="AL7" s="6" t="s">
        <v>32</v>
      </c>
      <c r="AM7" s="6" t="s">
        <v>33</v>
      </c>
      <c r="AN7" s="6" t="s">
        <v>34</v>
      </c>
      <c r="AO7" s="6" t="s">
        <v>35</v>
      </c>
      <c r="AP7" s="6" t="s">
        <v>36</v>
      </c>
      <c r="AQ7" s="6" t="s">
        <v>37</v>
      </c>
      <c r="AR7" s="6" t="s">
        <v>38</v>
      </c>
      <c r="AS7" s="6" t="s">
        <v>39</v>
      </c>
      <c r="AT7" s="6" t="s">
        <v>40</v>
      </c>
      <c r="AU7" s="6" t="s">
        <v>41</v>
      </c>
      <c r="AV7" s="6" t="s">
        <v>42</v>
      </c>
      <c r="AW7" s="6" t="s">
        <v>43</v>
      </c>
      <c r="AX7" s="6" t="s">
        <v>44</v>
      </c>
      <c r="AY7" s="6" t="s">
        <v>45</v>
      </c>
      <c r="AZ7" s="6" t="s">
        <v>46</v>
      </c>
      <c r="BA7" s="6" t="s">
        <v>47</v>
      </c>
    </row>
    <row r="8" spans="1:54" x14ac:dyDescent="0.25">
      <c r="A8" s="8" t="s">
        <v>11</v>
      </c>
      <c r="B8" s="9">
        <v>44691</v>
      </c>
      <c r="C8" s="9">
        <v>45116</v>
      </c>
      <c r="D8" s="9">
        <f>B8</f>
        <v>44691</v>
      </c>
      <c r="E8" s="32">
        <v>2660.1702149621701</v>
      </c>
      <c r="F8" s="31">
        <f>E8/365*J8</f>
        <v>3097.4584694764994</v>
      </c>
      <c r="G8" s="32">
        <v>2742.4435205795498</v>
      </c>
      <c r="H8" s="31">
        <f>ROUND(G8/365*J8,2)</f>
        <v>3193.26</v>
      </c>
      <c r="I8" s="10">
        <v>90</v>
      </c>
      <c r="J8" s="11">
        <f>C8-B8</f>
        <v>425</v>
      </c>
      <c r="K8" s="11" t="s">
        <v>0</v>
      </c>
      <c r="L8" s="11" t="s">
        <v>0</v>
      </c>
      <c r="M8" s="11" t="s">
        <v>0</v>
      </c>
      <c r="N8" s="11" t="s">
        <v>0</v>
      </c>
      <c r="O8" s="12" t="s">
        <v>0</v>
      </c>
      <c r="P8" s="12" t="s">
        <v>0</v>
      </c>
      <c r="Q8" s="12">
        <f>F8</f>
        <v>3097.4584694764994</v>
      </c>
      <c r="R8" s="14">
        <f>H8</f>
        <v>3193.26</v>
      </c>
      <c r="S8" s="33">
        <f>G8/365*J8</f>
        <v>3193.2561540994757</v>
      </c>
      <c r="T8" s="14">
        <f>R8</f>
        <v>3193.26</v>
      </c>
      <c r="U8" s="14">
        <v>0</v>
      </c>
      <c r="V8" s="12">
        <f>AN8</f>
        <v>3880.0635205795497</v>
      </c>
      <c r="W8" s="3">
        <f t="shared" ref="W8:W13" si="1">AU8+AX8+AZ8+BA8</f>
        <v>4517.8999999999996</v>
      </c>
      <c r="X8" s="3">
        <f>U8*J4*K4*L4</f>
        <v>0</v>
      </c>
      <c r="Y8" s="3">
        <f>W8+(I8*K5)+I8</f>
        <v>4616.8999999999996</v>
      </c>
      <c r="Z8" s="3">
        <f>X8</f>
        <v>0</v>
      </c>
      <c r="AA8" s="17"/>
      <c r="AB8" s="14"/>
      <c r="AC8" s="14"/>
      <c r="AD8" s="14">
        <v>0</v>
      </c>
      <c r="AE8" s="12">
        <v>0</v>
      </c>
      <c r="AF8" s="12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f t="shared" ref="AL8:AL14" si="2">E8</f>
        <v>2660.1702149621701</v>
      </c>
      <c r="AM8" s="14">
        <f t="shared" ref="AM8:AM14" si="3">G8</f>
        <v>2742.4435205795498</v>
      </c>
      <c r="AN8" s="14">
        <f>AM8+AP8+AR8+AS8</f>
        <v>3880.0635205795497</v>
      </c>
      <c r="AO8" s="14">
        <f>ROUND(AM8*M4,2)</f>
        <v>0</v>
      </c>
      <c r="AP8" s="14">
        <f>ROUND((AM8+AS8)*K5,2)</f>
        <v>323.61</v>
      </c>
      <c r="AQ8" s="14">
        <f>ROUND(AO8*K5,2)</f>
        <v>0</v>
      </c>
      <c r="AR8" s="14">
        <f>ROUND((AM8+AP8+AS8)*L5,2)</f>
        <v>320.37</v>
      </c>
      <c r="AS8" s="14">
        <f>ROUND(AM8*J5,2)</f>
        <v>493.64</v>
      </c>
      <c r="AT8" s="14">
        <f t="shared" ref="AT8:AU14" si="4">Q8</f>
        <v>3097.4584694764994</v>
      </c>
      <c r="AU8" s="14">
        <f t="shared" si="4"/>
        <v>3193.26</v>
      </c>
      <c r="AV8" s="14">
        <f>W8</f>
        <v>4517.8999999999996</v>
      </c>
      <c r="AW8" s="14">
        <f>ROUND(AU8*$M$4,2)</f>
        <v>0</v>
      </c>
      <c r="AX8" s="14">
        <f>ROUND((AU8+BA8)*$K$5,2)</f>
        <v>376.81</v>
      </c>
      <c r="AY8" s="14">
        <f>ROUND(AW8*$K$5,2)</f>
        <v>0</v>
      </c>
      <c r="AZ8" s="14">
        <f>ROUND((AU8+AX8+BA8)*$L$5,2)</f>
        <v>373.04</v>
      </c>
      <c r="BA8" s="14">
        <f>ROUND(AU8*J5,2)</f>
        <v>574.79</v>
      </c>
    </row>
    <row r="9" spans="1:54" x14ac:dyDescent="0.25">
      <c r="A9" s="8" t="s">
        <v>12</v>
      </c>
      <c r="B9" s="13">
        <f>B8</f>
        <v>44691</v>
      </c>
      <c r="C9" s="13">
        <f>C8</f>
        <v>45116</v>
      </c>
      <c r="D9" s="9">
        <v>44701</v>
      </c>
      <c r="E9" s="32">
        <v>821.00932578182994</v>
      </c>
      <c r="F9" s="31">
        <f>E9/365*J9</f>
        <v>955.96976289665133</v>
      </c>
      <c r="G9" s="32">
        <v>815.23828936255802</v>
      </c>
      <c r="H9" s="31">
        <f>ROUND(G9/365*J9,2)</f>
        <v>949.25</v>
      </c>
      <c r="I9" s="10">
        <v>90</v>
      </c>
      <c r="J9" s="11">
        <f>C9-B9</f>
        <v>425</v>
      </c>
      <c r="K9" s="11">
        <f>D9-D8</f>
        <v>10</v>
      </c>
      <c r="L9" s="11">
        <f>C9-D9</f>
        <v>415</v>
      </c>
      <c r="M9" s="12">
        <f>E8/365*K9</f>
        <v>72.881375752388223</v>
      </c>
      <c r="N9" s="12">
        <f>E9/365*L9</f>
        <v>933.47635671084777</v>
      </c>
      <c r="O9" s="12">
        <f t="shared" ref="O9:O14" si="5">G8/365*K9</f>
        <v>75.135438919987664</v>
      </c>
      <c r="P9" s="12">
        <f>G9/365*L9</f>
        <v>926.91476735742901</v>
      </c>
      <c r="Q9" s="14">
        <f>M9+N9</f>
        <v>1006.3577324632359</v>
      </c>
      <c r="R9" s="14">
        <f>ROUND(O9+P9,2)</f>
        <v>1002.05</v>
      </c>
      <c r="S9" s="33">
        <f>S8-(G8/365*L9)+P9</f>
        <v>1002.0502062774164</v>
      </c>
      <c r="T9" s="14">
        <f>ROUND(S9,2)</f>
        <v>1002.05</v>
      </c>
      <c r="U9" s="14">
        <f t="shared" ref="U9:U14" si="6">R9-R8</f>
        <v>-2191.21</v>
      </c>
      <c r="V9" s="12">
        <f t="shared" ref="V9:V14" si="7">AN9</f>
        <v>1153.418289362558</v>
      </c>
      <c r="W9" s="3">
        <f>AU9+AX9+AZ9+BA9</f>
        <v>1417.7199999999998</v>
      </c>
      <c r="X9" s="3">
        <f>W9-W8</f>
        <v>-3100.18</v>
      </c>
      <c r="Y9" s="3">
        <f>W9+(I9*K5)+I9</f>
        <v>1516.7199999999998</v>
      </c>
      <c r="Z9" s="3">
        <f>Y9-Y8</f>
        <v>-3100.18</v>
      </c>
      <c r="AA9" s="17"/>
      <c r="AB9" s="14">
        <f t="shared" ref="AB9:AB14" si="8">I9-I8</f>
        <v>0</v>
      </c>
      <c r="AC9" s="14">
        <f t="shared" ref="AC9:AC14" si="9">(I9*$K$5)-(I8*$K$5)</f>
        <v>0</v>
      </c>
      <c r="AD9" s="14">
        <f>Q9-Q8</f>
        <v>-2091.1007370132634</v>
      </c>
      <c r="AE9" s="12">
        <f>U9</f>
        <v>-2191.21</v>
      </c>
      <c r="AF9" s="12">
        <f>X9</f>
        <v>-3100.18</v>
      </c>
      <c r="AG9" s="14">
        <f>AW9-AW8</f>
        <v>0</v>
      </c>
      <c r="AH9" s="30">
        <f>AX9-AX8</f>
        <v>-258.57</v>
      </c>
      <c r="AI9" s="30">
        <f>AY9-AY8</f>
        <v>0</v>
      </c>
      <c r="AJ9" s="14">
        <f>AZ9-AZ8</f>
        <v>-255.98000000000002</v>
      </c>
      <c r="AK9" s="14">
        <f>BA9-BA8</f>
        <v>-394.41999999999996</v>
      </c>
      <c r="AL9" s="14">
        <f t="shared" si="2"/>
        <v>821.00932578182994</v>
      </c>
      <c r="AM9" s="14">
        <f t="shared" si="3"/>
        <v>815.23828936255802</v>
      </c>
      <c r="AN9" s="14">
        <f>AM9+AP9+AR9+AS9</f>
        <v>1153.418289362558</v>
      </c>
      <c r="AO9" s="14">
        <f>ROUND(AM9*M4,2)</f>
        <v>0</v>
      </c>
      <c r="AP9" s="14">
        <f>ROUND((AM9+AS9)*K5,2)</f>
        <v>96.2</v>
      </c>
      <c r="AQ9" s="14">
        <f>ROUND(AO9*K5,2)</f>
        <v>0</v>
      </c>
      <c r="AR9" s="14">
        <f>ROUND((AM9+AP9+AS9)*L5,2)</f>
        <v>95.24</v>
      </c>
      <c r="AS9" s="14">
        <f>ROUND(AM9*J5,2)</f>
        <v>146.74</v>
      </c>
      <c r="AT9" s="14">
        <f>Q9</f>
        <v>1006.3577324632359</v>
      </c>
      <c r="AU9" s="14">
        <f t="shared" si="4"/>
        <v>1002.05</v>
      </c>
      <c r="AV9" s="14">
        <f>W9</f>
        <v>1417.7199999999998</v>
      </c>
      <c r="AW9" s="14">
        <f>ROUND(AU9*$M$4,2)</f>
        <v>0</v>
      </c>
      <c r="AX9" s="14">
        <f>ROUND((AU9+BA9)*$K$5,2)</f>
        <v>118.24</v>
      </c>
      <c r="AY9" s="14">
        <f t="shared" ref="AY9:AY14" si="10">ROUND(AW9*$K$5,2)</f>
        <v>0</v>
      </c>
      <c r="AZ9" s="14">
        <f>ROUND((AU9+AX9+BA9)*$L$5,2)</f>
        <v>117.06</v>
      </c>
      <c r="BA9" s="14">
        <f>ROUND(AU9*J5,2)</f>
        <v>180.37</v>
      </c>
      <c r="BB9" s="29">
        <f>AU9*M4</f>
        <v>0</v>
      </c>
    </row>
    <row r="10" spans="1:54" x14ac:dyDescent="0.25">
      <c r="A10" s="8" t="s">
        <v>13</v>
      </c>
      <c r="B10" s="13">
        <f>B8</f>
        <v>44691</v>
      </c>
      <c r="C10" s="13">
        <f>C8</f>
        <v>45116</v>
      </c>
      <c r="D10" s="9">
        <v>44701</v>
      </c>
      <c r="E10" s="32">
        <v>271.07582725613599</v>
      </c>
      <c r="F10" s="31">
        <f t="shared" ref="F10:F14" si="11">E10/365*J10</f>
        <v>315.63623721604876</v>
      </c>
      <c r="G10" s="32">
        <v>322.70931816206667</v>
      </c>
      <c r="H10" s="31">
        <f t="shared" ref="H10:H14" si="12">ROUND(G10/365*J10,2)</f>
        <v>375.76</v>
      </c>
      <c r="I10" s="10">
        <v>90</v>
      </c>
      <c r="J10" s="11">
        <f>C10-B10</f>
        <v>425</v>
      </c>
      <c r="K10" s="11">
        <f>D10-D9</f>
        <v>0</v>
      </c>
      <c r="L10" s="11">
        <f t="shared" ref="L10:L14" si="13">C10-D10</f>
        <v>415</v>
      </c>
      <c r="M10" s="12">
        <f t="shared" ref="M10:M14" si="14">E9/365*K10</f>
        <v>0</v>
      </c>
      <c r="N10" s="12">
        <f t="shared" ref="N10:N14" si="15">E10/365*L10</f>
        <v>308.20950222272995</v>
      </c>
      <c r="O10" s="12">
        <f t="shared" si="5"/>
        <v>0</v>
      </c>
      <c r="P10" s="12">
        <f t="shared" ref="P10:P14" si="16">G10/365*L10</f>
        <v>366.91607407467853</v>
      </c>
      <c r="Q10" s="14">
        <f>SUM(M9:M10)+N10</f>
        <v>381.09087797511819</v>
      </c>
      <c r="R10" s="14">
        <f>ROUND(SUM(O9:O10)+P10,2)</f>
        <v>442.05</v>
      </c>
      <c r="S10" s="33">
        <f>S9-(G9/365*L10)+P10</f>
        <v>442.05151299466587</v>
      </c>
      <c r="T10" s="14">
        <f>ROUND(S10,2)</f>
        <v>442.05</v>
      </c>
      <c r="U10" s="14">
        <f t="shared" si="6"/>
        <v>-560</v>
      </c>
      <c r="V10" s="12">
        <f t="shared" si="7"/>
        <v>456.57931816206667</v>
      </c>
      <c r="W10" s="3">
        <f t="shared" si="1"/>
        <v>625.42000000000007</v>
      </c>
      <c r="X10" s="3">
        <f>W10-W9</f>
        <v>-792.29999999999973</v>
      </c>
      <c r="Y10" s="3">
        <f>W10+(I10*K5)+I10</f>
        <v>724.42000000000007</v>
      </c>
      <c r="Z10" s="3">
        <f>Y10-Y9</f>
        <v>-792.29999999999973</v>
      </c>
      <c r="AA10" s="17"/>
      <c r="AB10" s="14">
        <f t="shared" si="8"/>
        <v>0</v>
      </c>
      <c r="AC10" s="14">
        <f t="shared" si="9"/>
        <v>0</v>
      </c>
      <c r="AD10" s="14">
        <f t="shared" ref="AD10:AD14" si="17">Q10-Q9</f>
        <v>-625.26685448811781</v>
      </c>
      <c r="AE10" s="12">
        <f>U10</f>
        <v>-560</v>
      </c>
      <c r="AF10" s="12">
        <f t="shared" ref="AF10:AF13" si="18">X10</f>
        <v>-792.29999999999973</v>
      </c>
      <c r="AG10" s="14">
        <f>AW10-AW9</f>
        <v>0</v>
      </c>
      <c r="AH10" s="30">
        <f>AX10-AX9</f>
        <v>-66.08</v>
      </c>
      <c r="AI10" s="30">
        <f t="shared" ref="AG10:AK14" si="19">AY10-AY9</f>
        <v>0</v>
      </c>
      <c r="AJ10" s="14">
        <f>AZ10-AZ9</f>
        <v>-65.42</v>
      </c>
      <c r="AK10" s="14">
        <f t="shared" si="19"/>
        <v>-100.80000000000001</v>
      </c>
      <c r="AL10" s="14">
        <f t="shared" si="2"/>
        <v>271.07582725613599</v>
      </c>
      <c r="AM10" s="14">
        <f t="shared" si="3"/>
        <v>322.70931816206667</v>
      </c>
      <c r="AN10" s="14">
        <f t="shared" ref="AN10:AN14" si="20">AM10+AP10+AR10+AS10</f>
        <v>456.57931816206667</v>
      </c>
      <c r="AO10" s="14">
        <f>ROUND(AM10*M4,2)</f>
        <v>0</v>
      </c>
      <c r="AP10" s="14">
        <f>ROUND((AM10+AS10)*K5,2)</f>
        <v>38.08</v>
      </c>
      <c r="AQ10" s="14">
        <f>ROUND(AO10*K5,2)</f>
        <v>0</v>
      </c>
      <c r="AR10" s="14">
        <f>ROUND((AM10+AP10+AS10)*L5,2)</f>
        <v>37.700000000000003</v>
      </c>
      <c r="AS10" s="14">
        <f>ROUND(AM10*J5,2)</f>
        <v>58.09</v>
      </c>
      <c r="AT10" s="14">
        <f t="shared" si="4"/>
        <v>381.09087797511819</v>
      </c>
      <c r="AU10" s="14">
        <f>R10</f>
        <v>442.05</v>
      </c>
      <c r="AV10" s="14">
        <f t="shared" ref="AV10:AV14" si="21">W10</f>
        <v>625.42000000000007</v>
      </c>
      <c r="AW10" s="14">
        <f>ROUND(AU10*$M$4,2)</f>
        <v>0</v>
      </c>
      <c r="AX10" s="14">
        <f>ROUND((AU10+BA10)*$K$5,2)</f>
        <v>52.16</v>
      </c>
      <c r="AY10" s="14">
        <f t="shared" si="10"/>
        <v>0</v>
      </c>
      <c r="AZ10" s="14">
        <f>ROUND((AU10+AX10+BA10)*$L$5,2)</f>
        <v>51.64</v>
      </c>
      <c r="BA10" s="14">
        <f>ROUND(AU10*J5,2)</f>
        <v>79.569999999999993</v>
      </c>
    </row>
    <row r="11" spans="1:54" x14ac:dyDescent="0.25">
      <c r="A11" s="8" t="s">
        <v>14</v>
      </c>
      <c r="B11" s="13">
        <f>B8</f>
        <v>44691</v>
      </c>
      <c r="C11" s="13">
        <f>C8</f>
        <v>45116</v>
      </c>
      <c r="D11" s="9">
        <v>44866</v>
      </c>
      <c r="E11" s="32">
        <v>1228.21639150943</v>
      </c>
      <c r="F11" s="31">
        <f t="shared" si="11"/>
        <v>1430.1149764150896</v>
      </c>
      <c r="G11" s="32">
        <v>455</v>
      </c>
      <c r="H11" s="31">
        <f t="shared" si="12"/>
        <v>529.79</v>
      </c>
      <c r="I11" s="10">
        <v>90</v>
      </c>
      <c r="J11" s="11">
        <f>C11-B11</f>
        <v>425</v>
      </c>
      <c r="K11" s="11">
        <f>D11-D10</f>
        <v>165</v>
      </c>
      <c r="L11" s="11">
        <f t="shared" si="13"/>
        <v>250</v>
      </c>
      <c r="M11" s="12">
        <f t="shared" si="14"/>
        <v>122.54112738976011</v>
      </c>
      <c r="N11" s="12">
        <f t="shared" si="15"/>
        <v>841.2441037735822</v>
      </c>
      <c r="O11" s="12">
        <f t="shared" si="5"/>
        <v>145.88229451161919</v>
      </c>
      <c r="P11" s="12">
        <f t="shared" si="16"/>
        <v>311.64383561643837</v>
      </c>
      <c r="Q11" s="14">
        <f>SUM(M9:M11)+N11</f>
        <v>1036.6666069157304</v>
      </c>
      <c r="R11" s="14">
        <f>ROUND(SUM(O9:O11)+P11,2)</f>
        <v>532.66</v>
      </c>
      <c r="S11" s="33">
        <f t="shared" ref="S11:S14" si="22">G11/365*J11</f>
        <v>529.79452054794524</v>
      </c>
      <c r="T11" s="14">
        <f>ROUND(T10-(G10/365*L11)+P11,2)</f>
        <v>532.66</v>
      </c>
      <c r="U11" s="14">
        <f t="shared" si="6"/>
        <v>90.609999999999957</v>
      </c>
      <c r="V11" s="12">
        <f t="shared" si="7"/>
        <v>643.74</v>
      </c>
      <c r="W11" s="3">
        <f t="shared" si="1"/>
        <v>753.62</v>
      </c>
      <c r="X11" s="3">
        <f t="shared" ref="X11:X14" si="23">W11-W10</f>
        <v>128.19999999999993</v>
      </c>
      <c r="Y11" s="3">
        <f>W11+(I11*K5)+I11</f>
        <v>852.62</v>
      </c>
      <c r="Z11" s="3">
        <f>Y11-Y10</f>
        <v>128.19999999999993</v>
      </c>
      <c r="AA11" s="17"/>
      <c r="AB11" s="14">
        <f t="shared" si="8"/>
        <v>0</v>
      </c>
      <c r="AC11" s="14">
        <f t="shared" si="9"/>
        <v>0</v>
      </c>
      <c r="AD11" s="14">
        <f t="shared" si="17"/>
        <v>655.57572894061218</v>
      </c>
      <c r="AE11" s="12">
        <f>U11</f>
        <v>90.609999999999957</v>
      </c>
      <c r="AF11" s="12">
        <f>X11</f>
        <v>128.19999999999993</v>
      </c>
      <c r="AG11" s="14">
        <f t="shared" si="19"/>
        <v>0</v>
      </c>
      <c r="AH11" s="30">
        <f t="shared" si="19"/>
        <v>10.690000000000005</v>
      </c>
      <c r="AI11" s="30">
        <f t="shared" si="19"/>
        <v>0</v>
      </c>
      <c r="AJ11" s="14">
        <f t="shared" si="19"/>
        <v>10.589999999999996</v>
      </c>
      <c r="AK11" s="14">
        <f t="shared" si="19"/>
        <v>16.310000000000002</v>
      </c>
      <c r="AL11" s="14">
        <f t="shared" si="2"/>
        <v>1228.21639150943</v>
      </c>
      <c r="AM11" s="14">
        <f t="shared" si="3"/>
        <v>455</v>
      </c>
      <c r="AN11" s="14">
        <f t="shared" si="20"/>
        <v>643.74</v>
      </c>
      <c r="AO11" s="14">
        <f>ROUND(AM11*M4,2)</f>
        <v>0</v>
      </c>
      <c r="AP11" s="14">
        <f>ROUND((AM11+AS11)*K5,2)</f>
        <v>53.69</v>
      </c>
      <c r="AQ11" s="14">
        <f>ROUND(AO11*K5,2)</f>
        <v>0</v>
      </c>
      <c r="AR11" s="14">
        <f>ROUND((AM11+AP11+AS11)*L5,2)</f>
        <v>53.15</v>
      </c>
      <c r="AS11" s="14">
        <f>ROUND(AM11*J5,2)</f>
        <v>81.900000000000006</v>
      </c>
      <c r="AT11" s="14">
        <f t="shared" si="4"/>
        <v>1036.6666069157304</v>
      </c>
      <c r="AU11" s="14">
        <f t="shared" si="4"/>
        <v>532.66</v>
      </c>
      <c r="AV11" s="14">
        <f t="shared" si="21"/>
        <v>753.62</v>
      </c>
      <c r="AW11" s="14">
        <f t="shared" ref="AW11:AW14" si="24">ROUND(AU11*$M$4,2)</f>
        <v>0</v>
      </c>
      <c r="AX11" s="14">
        <f t="shared" ref="AX11:AX14" si="25">ROUND((AU11+BA11)*$K$5,2)</f>
        <v>62.85</v>
      </c>
      <c r="AY11" s="14">
        <f t="shared" si="10"/>
        <v>0</v>
      </c>
      <c r="AZ11" s="14">
        <f t="shared" ref="AZ11:AZ14" si="26">ROUND((AU11+AX11+BA11)*$L$5,2)</f>
        <v>62.23</v>
      </c>
      <c r="BA11" s="14">
        <f>ROUND(AU11*J5,2)</f>
        <v>95.88</v>
      </c>
    </row>
    <row r="12" spans="1:54" x14ac:dyDescent="0.25">
      <c r="A12" s="8" t="s">
        <v>16</v>
      </c>
      <c r="B12" s="13">
        <f>B8</f>
        <v>44691</v>
      </c>
      <c r="C12" s="13">
        <f>C8</f>
        <v>45116</v>
      </c>
      <c r="D12" s="9">
        <v>44769</v>
      </c>
      <c r="E12" s="32">
        <v>1096.9713443396226</v>
      </c>
      <c r="F12" s="31">
        <f t="shared" si="11"/>
        <v>1277.2954009433961</v>
      </c>
      <c r="G12" s="32">
        <v>1443.5577830188681</v>
      </c>
      <c r="H12" s="31">
        <f t="shared" si="12"/>
        <v>1680.85</v>
      </c>
      <c r="I12" s="10">
        <v>90</v>
      </c>
      <c r="J12" s="11">
        <f>C12-B12</f>
        <v>425</v>
      </c>
      <c r="K12" s="11">
        <f t="shared" ref="K12:K14" si="27">D12-D11</f>
        <v>-97</v>
      </c>
      <c r="L12" s="11">
        <f t="shared" si="13"/>
        <v>347</v>
      </c>
      <c r="M12" s="12">
        <f t="shared" si="14"/>
        <v>-326.4027122641499</v>
      </c>
      <c r="N12" s="12">
        <f t="shared" si="15"/>
        <v>1042.8741273584906</v>
      </c>
      <c r="O12" s="12">
        <f t="shared" si="5"/>
        <v>-120.91780821917808</v>
      </c>
      <c r="P12" s="12">
        <f t="shared" si="16"/>
        <v>1372.3686320754719</v>
      </c>
      <c r="Q12" s="14">
        <f>SUM(M9:M12)+N12</f>
        <v>911.89391823648907</v>
      </c>
      <c r="R12" s="14">
        <f>ROUND(SUM(O9:O12)+P12,2)</f>
        <v>1472.47</v>
      </c>
      <c r="S12" s="33">
        <f t="shared" si="22"/>
        <v>1680.8549528301887</v>
      </c>
      <c r="T12" s="14">
        <f>ROUND(T11-(G11/365*L12)+P12,2)</f>
        <v>1472.47</v>
      </c>
      <c r="U12" s="14">
        <f t="shared" si="6"/>
        <v>939.81000000000006</v>
      </c>
      <c r="V12" s="12">
        <f t="shared" si="7"/>
        <v>2042.3777830188681</v>
      </c>
      <c r="W12" s="3">
        <f t="shared" si="1"/>
        <v>2083.27</v>
      </c>
      <c r="X12" s="3">
        <f t="shared" si="23"/>
        <v>1329.65</v>
      </c>
      <c r="Y12" s="3">
        <f>W12+(I12*K5)+I12</f>
        <v>2182.27</v>
      </c>
      <c r="Z12" s="3">
        <f t="shared" ref="Z12:Z14" si="28">Y12-Y11</f>
        <v>1329.65</v>
      </c>
      <c r="AA12" s="17"/>
      <c r="AB12" s="14">
        <f t="shared" si="8"/>
        <v>0</v>
      </c>
      <c r="AC12" s="14">
        <f t="shared" si="9"/>
        <v>0</v>
      </c>
      <c r="AD12" s="14">
        <f t="shared" si="17"/>
        <v>-124.77268867924136</v>
      </c>
      <c r="AE12" s="12">
        <f t="shared" ref="AE12:AE14" si="29">U12</f>
        <v>939.81000000000006</v>
      </c>
      <c r="AF12" s="12">
        <f t="shared" si="18"/>
        <v>1329.65</v>
      </c>
      <c r="AG12" s="14">
        <f t="shared" si="19"/>
        <v>0</v>
      </c>
      <c r="AH12" s="30">
        <f t="shared" si="19"/>
        <v>110.9</v>
      </c>
      <c r="AI12" s="30">
        <f t="shared" si="19"/>
        <v>0</v>
      </c>
      <c r="AJ12" s="14">
        <f t="shared" si="19"/>
        <v>109.78</v>
      </c>
      <c r="AK12" s="14">
        <f t="shared" si="19"/>
        <v>169.16000000000003</v>
      </c>
      <c r="AL12" s="14">
        <f t="shared" si="2"/>
        <v>1096.9713443396226</v>
      </c>
      <c r="AM12" s="14">
        <f t="shared" si="3"/>
        <v>1443.5577830188681</v>
      </c>
      <c r="AN12" s="14">
        <f t="shared" si="20"/>
        <v>2042.3777830188681</v>
      </c>
      <c r="AO12" s="14">
        <f>ROUND(AM12*M4,2)</f>
        <v>0</v>
      </c>
      <c r="AP12" s="14">
        <f>ROUND((AM12+AS12)*K5,2)</f>
        <v>170.34</v>
      </c>
      <c r="AQ12" s="14">
        <f>ROUND(AO12*K5,2)</f>
        <v>0</v>
      </c>
      <c r="AR12" s="14">
        <f>ROUND((AM12+AP12+AS12)*L5,2)</f>
        <v>168.64</v>
      </c>
      <c r="AS12" s="14">
        <f>ROUND(AM12*J5,2)</f>
        <v>259.83999999999997</v>
      </c>
      <c r="AT12" s="14">
        <f t="shared" si="4"/>
        <v>911.89391823648907</v>
      </c>
      <c r="AU12" s="14">
        <f t="shared" si="4"/>
        <v>1472.47</v>
      </c>
      <c r="AV12" s="14">
        <f t="shared" si="21"/>
        <v>2083.27</v>
      </c>
      <c r="AW12" s="14">
        <f t="shared" si="24"/>
        <v>0</v>
      </c>
      <c r="AX12" s="14">
        <f t="shared" si="25"/>
        <v>173.75</v>
      </c>
      <c r="AY12" s="14">
        <f t="shared" si="10"/>
        <v>0</v>
      </c>
      <c r="AZ12" s="14">
        <f t="shared" si="26"/>
        <v>172.01</v>
      </c>
      <c r="BA12" s="14">
        <f>ROUND(AU12*J5,2)</f>
        <v>265.04000000000002</v>
      </c>
    </row>
    <row r="13" spans="1:54" x14ac:dyDescent="0.25">
      <c r="A13" s="8" t="s">
        <v>17</v>
      </c>
      <c r="B13" s="13">
        <f>B8</f>
        <v>44691</v>
      </c>
      <c r="C13" s="13">
        <f>C8</f>
        <v>45116</v>
      </c>
      <c r="D13" s="9">
        <v>44804</v>
      </c>
      <c r="E13" s="32">
        <v>1300.9899</v>
      </c>
      <c r="F13" s="31">
        <f t="shared" si="11"/>
        <v>1514.8512534246577</v>
      </c>
      <c r="G13" s="32">
        <v>1602.4705188679245</v>
      </c>
      <c r="H13" s="31">
        <f t="shared" si="12"/>
        <v>1865.89</v>
      </c>
      <c r="I13" s="10">
        <v>90</v>
      </c>
      <c r="J13" s="11">
        <f t="shared" ref="J13" si="30">C13-B13</f>
        <v>425</v>
      </c>
      <c r="K13" s="11">
        <f t="shared" si="27"/>
        <v>35</v>
      </c>
      <c r="L13" s="11">
        <f t="shared" si="13"/>
        <v>312</v>
      </c>
      <c r="M13" s="12">
        <f t="shared" si="14"/>
        <v>105.18903301886792</v>
      </c>
      <c r="N13" s="12">
        <f t="shared" si="15"/>
        <v>1112.0790378082193</v>
      </c>
      <c r="O13" s="12">
        <f t="shared" si="5"/>
        <v>138.4233490566038</v>
      </c>
      <c r="P13" s="12">
        <f t="shared" si="16"/>
        <v>1369.7830188679245</v>
      </c>
      <c r="Q13" s="14">
        <f>SUM(M9:M13)+N13</f>
        <v>1086.2878617050856</v>
      </c>
      <c r="R13" s="14">
        <f>ROUND(SUM(O9:O13)+P13,2)</f>
        <v>1608.31</v>
      </c>
      <c r="S13" s="33">
        <f t="shared" si="22"/>
        <v>1865.8903301886792</v>
      </c>
      <c r="T13" s="14">
        <f>ROUND(T12-(G12/365*L13)+P13,2)</f>
        <v>1608.31</v>
      </c>
      <c r="U13" s="14">
        <f t="shared" si="6"/>
        <v>135.83999999999992</v>
      </c>
      <c r="V13" s="12">
        <f t="shared" si="7"/>
        <v>2267.2005188679245</v>
      </c>
      <c r="W13" s="3">
        <f t="shared" si="1"/>
        <v>2275.4699999999998</v>
      </c>
      <c r="X13" s="3">
        <f t="shared" si="23"/>
        <v>192.19999999999982</v>
      </c>
      <c r="Y13" s="3">
        <f>W13+(I13*K5)+I13</f>
        <v>2374.4699999999998</v>
      </c>
      <c r="Z13" s="3">
        <f t="shared" si="28"/>
        <v>192.19999999999982</v>
      </c>
      <c r="AA13" s="17"/>
      <c r="AB13" s="14">
        <f t="shared" si="8"/>
        <v>0</v>
      </c>
      <c r="AC13" s="14">
        <f t="shared" si="9"/>
        <v>0</v>
      </c>
      <c r="AD13" s="14">
        <f t="shared" si="17"/>
        <v>174.39394346859649</v>
      </c>
      <c r="AE13" s="12">
        <f t="shared" si="29"/>
        <v>135.83999999999992</v>
      </c>
      <c r="AF13" s="12">
        <f t="shared" si="18"/>
        <v>192.19999999999982</v>
      </c>
      <c r="AG13" s="14">
        <f t="shared" si="19"/>
        <v>0</v>
      </c>
      <c r="AH13" s="30">
        <f t="shared" si="19"/>
        <v>16.03</v>
      </c>
      <c r="AI13" s="30">
        <f t="shared" si="19"/>
        <v>0</v>
      </c>
      <c r="AJ13" s="14">
        <f t="shared" si="19"/>
        <v>15.870000000000005</v>
      </c>
      <c r="AK13" s="14">
        <f t="shared" si="19"/>
        <v>24.45999999999998</v>
      </c>
      <c r="AL13" s="14">
        <f t="shared" si="2"/>
        <v>1300.9899</v>
      </c>
      <c r="AM13" s="14">
        <f t="shared" si="3"/>
        <v>1602.4705188679245</v>
      </c>
      <c r="AN13" s="14">
        <f t="shared" si="20"/>
        <v>2267.2005188679245</v>
      </c>
      <c r="AO13" s="14">
        <f>ROUND(AM13*M4,2)</f>
        <v>0</v>
      </c>
      <c r="AP13" s="14">
        <f>ROUND((AM13+AS13)*K5,2)</f>
        <v>189.09</v>
      </c>
      <c r="AQ13" s="14">
        <f>ROUND(AO13*K5,2)</f>
        <v>0</v>
      </c>
      <c r="AR13" s="14">
        <f>ROUND((AM13+AP13+AS13)*L5,2)</f>
        <v>187.2</v>
      </c>
      <c r="AS13" s="14">
        <f>ROUND(AM13*J5,2)</f>
        <v>288.44</v>
      </c>
      <c r="AT13" s="14">
        <f t="shared" si="4"/>
        <v>1086.2878617050856</v>
      </c>
      <c r="AU13" s="14">
        <f t="shared" si="4"/>
        <v>1608.31</v>
      </c>
      <c r="AV13" s="14">
        <f t="shared" si="21"/>
        <v>2275.4699999999998</v>
      </c>
      <c r="AW13" s="14">
        <f t="shared" si="24"/>
        <v>0</v>
      </c>
      <c r="AX13" s="14">
        <f t="shared" si="25"/>
        <v>189.78</v>
      </c>
      <c r="AY13" s="14">
        <f t="shared" si="10"/>
        <v>0</v>
      </c>
      <c r="AZ13" s="14">
        <f t="shared" si="26"/>
        <v>187.88</v>
      </c>
      <c r="BA13" s="14">
        <f>ROUND(AU13*J5,2)</f>
        <v>289.5</v>
      </c>
    </row>
    <row r="14" spans="1:54" x14ac:dyDescent="0.25">
      <c r="A14" s="8" t="s">
        <v>15</v>
      </c>
      <c r="B14" s="13">
        <f>B8</f>
        <v>44691</v>
      </c>
      <c r="C14" s="13">
        <f>C8</f>
        <v>45116</v>
      </c>
      <c r="D14" s="9">
        <v>44824</v>
      </c>
      <c r="E14" s="32">
        <v>1378.95777</v>
      </c>
      <c r="F14" s="31">
        <f t="shared" si="11"/>
        <v>1605.6357595890411</v>
      </c>
      <c r="G14" s="32">
        <v>1715.6979952830191</v>
      </c>
      <c r="H14" s="31">
        <f t="shared" si="12"/>
        <v>1997.73</v>
      </c>
      <c r="I14" s="10">
        <v>90</v>
      </c>
      <c r="J14" s="11">
        <f t="shared" ref="J14" si="31">C14-B14</f>
        <v>425</v>
      </c>
      <c r="K14" s="11">
        <f t="shared" si="27"/>
        <v>20</v>
      </c>
      <c r="L14" s="11">
        <f t="shared" si="13"/>
        <v>292</v>
      </c>
      <c r="M14" s="12">
        <f t="shared" si="14"/>
        <v>71.287117808219179</v>
      </c>
      <c r="N14" s="12">
        <f t="shared" si="15"/>
        <v>1103.1662160000001</v>
      </c>
      <c r="O14" s="12">
        <f t="shared" si="5"/>
        <v>87.806603773584897</v>
      </c>
      <c r="P14" s="12">
        <f t="shared" si="16"/>
        <v>1372.5583962264152</v>
      </c>
      <c r="Q14" s="14">
        <f>SUM(M9:M14)+N14</f>
        <v>1148.6621577050855</v>
      </c>
      <c r="R14" s="14">
        <f>ROUND(SUM(O9:O14)+P14,2)</f>
        <v>1698.89</v>
      </c>
      <c r="S14" s="33">
        <f t="shared" si="22"/>
        <v>1997.7305424528304</v>
      </c>
      <c r="T14" s="14">
        <f>ROUND(T13-(G13/365*L14)+P14,2)</f>
        <v>1698.89</v>
      </c>
      <c r="U14" s="14">
        <f t="shared" si="6"/>
        <v>90.580000000000155</v>
      </c>
      <c r="V14" s="12">
        <f t="shared" si="7"/>
        <v>2427.4079952830189</v>
      </c>
      <c r="W14" s="3">
        <f>AU14+AX14+AZ14+BA14</f>
        <v>2403.6200000000003</v>
      </c>
      <c r="X14" s="3">
        <f t="shared" si="23"/>
        <v>128.15000000000055</v>
      </c>
      <c r="Y14" s="3">
        <f>W14+(I14*K5)+I14</f>
        <v>2502.6200000000003</v>
      </c>
      <c r="Z14" s="3">
        <f t="shared" si="28"/>
        <v>128.15000000000055</v>
      </c>
      <c r="AA14" s="17"/>
      <c r="AB14" s="14">
        <f t="shared" si="8"/>
        <v>0</v>
      </c>
      <c r="AC14" s="14">
        <f t="shared" si="9"/>
        <v>0</v>
      </c>
      <c r="AD14" s="14">
        <f t="shared" si="17"/>
        <v>62.374295999999958</v>
      </c>
      <c r="AE14" s="12">
        <f t="shared" si="29"/>
        <v>90.580000000000155</v>
      </c>
      <c r="AF14" s="12">
        <f>X14</f>
        <v>128.15000000000055</v>
      </c>
      <c r="AG14" s="14">
        <f>AW14-AW13</f>
        <v>0</v>
      </c>
      <c r="AH14" s="30">
        <f t="shared" si="19"/>
        <v>10.689999999999998</v>
      </c>
      <c r="AI14" s="30">
        <f t="shared" si="19"/>
        <v>0</v>
      </c>
      <c r="AJ14" s="14">
        <f t="shared" si="19"/>
        <v>10.580000000000013</v>
      </c>
      <c r="AK14" s="14">
        <f t="shared" si="19"/>
        <v>16.300000000000011</v>
      </c>
      <c r="AL14" s="14">
        <f t="shared" si="2"/>
        <v>1378.95777</v>
      </c>
      <c r="AM14" s="14">
        <f t="shared" si="3"/>
        <v>1715.6979952830191</v>
      </c>
      <c r="AN14" s="14">
        <f t="shared" si="20"/>
        <v>2427.4079952830189</v>
      </c>
      <c r="AO14" s="14">
        <f>ROUND(AM14*M4,2)</f>
        <v>0</v>
      </c>
      <c r="AP14" s="14">
        <f>ROUND((AM14+AS14)*K5,2)</f>
        <v>202.45</v>
      </c>
      <c r="AQ14" s="14">
        <f>ROUND(AO14*K5,2)</f>
        <v>0</v>
      </c>
      <c r="AR14" s="14">
        <f>ROUND((AM14+AP14+AS14)*L5,2)</f>
        <v>200.43</v>
      </c>
      <c r="AS14" s="14">
        <f>ROUND(AM14*J5,2)</f>
        <v>308.83</v>
      </c>
      <c r="AT14" s="14">
        <f t="shared" si="4"/>
        <v>1148.6621577050855</v>
      </c>
      <c r="AU14" s="14">
        <f t="shared" si="4"/>
        <v>1698.89</v>
      </c>
      <c r="AV14" s="14">
        <f t="shared" si="21"/>
        <v>2403.6200000000003</v>
      </c>
      <c r="AW14" s="14">
        <f t="shared" si="24"/>
        <v>0</v>
      </c>
      <c r="AX14" s="14">
        <f t="shared" si="25"/>
        <v>200.47</v>
      </c>
      <c r="AY14" s="14">
        <f t="shared" si="10"/>
        <v>0</v>
      </c>
      <c r="AZ14" s="14">
        <f t="shared" si="26"/>
        <v>198.46</v>
      </c>
      <c r="BA14" s="14">
        <f>ROUND(AU14*J5,2)</f>
        <v>305.8</v>
      </c>
    </row>
    <row r="15" spans="1:54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0"/>
      <c r="K15" s="20"/>
      <c r="L15" s="20"/>
      <c r="M15" s="21"/>
      <c r="N15" s="21"/>
      <c r="O15" s="21"/>
      <c r="P15" s="21"/>
      <c r="Q15" s="22"/>
      <c r="R15" s="22"/>
      <c r="S15" s="22"/>
      <c r="T15" s="22"/>
      <c r="U15" s="22"/>
      <c r="V15" s="21"/>
      <c r="W15" s="23"/>
      <c r="X15" s="23"/>
      <c r="Y15" s="23"/>
      <c r="Z15" s="23"/>
      <c r="AD15" s="22"/>
      <c r="AE15" s="21"/>
      <c r="AF15" s="21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</row>
    <row r="17" spans="1:55" x14ac:dyDescent="0.25">
      <c r="A17" s="28" t="s">
        <v>59</v>
      </c>
      <c r="B17" s="26">
        <f>B8</f>
        <v>44691</v>
      </c>
      <c r="C17" s="26">
        <f>C8</f>
        <v>45116</v>
      </c>
      <c r="D17" s="9">
        <v>44691</v>
      </c>
      <c r="E17" s="9"/>
      <c r="F17" s="27"/>
      <c r="G17" s="27"/>
      <c r="H17" s="16"/>
      <c r="I17" s="16"/>
      <c r="J17" s="11">
        <f>C17-B17</f>
        <v>425</v>
      </c>
      <c r="K17" s="11">
        <f t="shared" ref="K17:K23" si="32">D17-D8</f>
        <v>0</v>
      </c>
      <c r="L17" s="11">
        <f>C17-D17</f>
        <v>425</v>
      </c>
      <c r="M17" s="12">
        <f>F8/J17*K17</f>
        <v>0</v>
      </c>
      <c r="N17" s="12">
        <f t="shared" ref="N17:N22" si="33">F8/J17*L17</f>
        <v>3097.4584694764994</v>
      </c>
      <c r="O17" s="12">
        <f>H8/J17*K17</f>
        <v>0</v>
      </c>
      <c r="P17" s="12">
        <f t="shared" ref="P17:P23" si="34">H8/J17*L17</f>
        <v>3193.26</v>
      </c>
      <c r="Q17" s="14">
        <f>M17</f>
        <v>0</v>
      </c>
      <c r="R17" s="14">
        <f>ROUND(O17,2)</f>
        <v>0</v>
      </c>
      <c r="S17" s="14"/>
      <c r="T17" s="14"/>
      <c r="U17" s="14">
        <f t="shared" ref="U17:U23" si="35">R17-R8</f>
        <v>-3193.26</v>
      </c>
      <c r="V17" s="12"/>
      <c r="W17" s="14">
        <f>AU17+AX17+AZ17+BA17</f>
        <v>0</v>
      </c>
      <c r="X17" s="3">
        <f>W17-W8</f>
        <v>-4517.8999999999996</v>
      </c>
      <c r="Y17" s="3">
        <f t="shared" ref="Y17:Y23" si="36">W17+I8 +($K$5*I8)</f>
        <v>99</v>
      </c>
      <c r="Z17" s="3"/>
      <c r="AA17" s="16"/>
      <c r="AB17" s="16"/>
      <c r="AC17" s="16"/>
      <c r="AD17" s="12">
        <f t="shared" ref="AD17:AD23" si="37">Q17-Q8</f>
        <v>-3097.4584694764994</v>
      </c>
      <c r="AE17" s="3">
        <f>U17</f>
        <v>-3193.26</v>
      </c>
      <c r="AF17" s="3">
        <f>X17</f>
        <v>-4517.8999999999996</v>
      </c>
      <c r="AG17" s="3">
        <f>AW17-AW8</f>
        <v>0</v>
      </c>
      <c r="AH17" s="3">
        <f>AX17-AX8</f>
        <v>-376.81</v>
      </c>
      <c r="AI17" s="3">
        <f>AY17-AY8</f>
        <v>0</v>
      </c>
      <c r="AJ17" s="3">
        <f>AZ17-AZ8</f>
        <v>-373.04</v>
      </c>
      <c r="AK17" s="3">
        <f>BA17-BA8</f>
        <v>-574.79</v>
      </c>
      <c r="AL17" s="16"/>
      <c r="AM17" s="16"/>
      <c r="AN17" s="16"/>
      <c r="AO17" s="16"/>
      <c r="AP17" s="16"/>
      <c r="AQ17" s="16"/>
      <c r="AR17" s="16"/>
      <c r="AS17" s="16"/>
      <c r="AT17" s="14">
        <f t="shared" ref="AT17:AU23" si="38">Q17</f>
        <v>0</v>
      </c>
      <c r="AU17" s="12">
        <f t="shared" si="38"/>
        <v>0</v>
      </c>
      <c r="AV17" s="14">
        <f>W17</f>
        <v>0</v>
      </c>
      <c r="AW17" s="14">
        <f>ROUND(AU17*$M$4,2)</f>
        <v>0</v>
      </c>
      <c r="AX17" s="24">
        <f>ROUND((AU17+BA17)*$K$5,2)</f>
        <v>0</v>
      </c>
      <c r="AY17" s="14">
        <f>ROUND(AW17*$K$5,2)</f>
        <v>0</v>
      </c>
      <c r="AZ17" s="24">
        <f>ROUND((AU17+AX17+BA17)*$L$5,2)</f>
        <v>0</v>
      </c>
      <c r="BA17" s="14">
        <f>ROUND(AU17*$J$5,2)</f>
        <v>0</v>
      </c>
    </row>
    <row r="18" spans="1:55" x14ac:dyDescent="0.25">
      <c r="A18" s="19" t="s">
        <v>53</v>
      </c>
      <c r="B18" s="26">
        <f>B8</f>
        <v>44691</v>
      </c>
      <c r="C18" s="26">
        <f>C8</f>
        <v>45116</v>
      </c>
      <c r="D18" s="9">
        <v>44706</v>
      </c>
      <c r="E18" s="9"/>
      <c r="F18" s="12"/>
      <c r="G18" s="12"/>
      <c r="H18" s="12"/>
      <c r="I18" s="12"/>
      <c r="J18" s="11">
        <f>C18-B18</f>
        <v>425</v>
      </c>
      <c r="K18" s="11">
        <f t="shared" si="32"/>
        <v>5</v>
      </c>
      <c r="L18" s="11">
        <f>C18-D18</f>
        <v>410</v>
      </c>
      <c r="M18" s="12">
        <f t="shared" ref="M18:M22" si="39">F9/J18*K18</f>
        <v>11.246703092901779</v>
      </c>
      <c r="N18" s="12">
        <f t="shared" si="33"/>
        <v>922.22965361794593</v>
      </c>
      <c r="O18" s="12">
        <f t="shared" ref="O18:O23" si="40">H9/J18*K18</f>
        <v>11.16764705882353</v>
      </c>
      <c r="P18" s="12" t="s">
        <v>76</v>
      </c>
      <c r="Q18" s="14">
        <f>M9+M18</f>
        <v>84.128078845290005</v>
      </c>
      <c r="R18" s="14">
        <f>ROUND(O9+O18,2)</f>
        <v>86.3</v>
      </c>
      <c r="S18" s="14"/>
      <c r="T18" s="14"/>
      <c r="U18" s="14">
        <f t="shared" si="35"/>
        <v>-915.75</v>
      </c>
      <c r="V18" s="12"/>
      <c r="W18" s="14">
        <f t="shared" ref="W18:W23" si="41">AU18+AX18+AZ18+BA18</f>
        <v>122.08999999999999</v>
      </c>
      <c r="X18" s="3">
        <f>W18-W9</f>
        <v>-1295.6299999999999</v>
      </c>
      <c r="Y18" s="3">
        <f t="shared" si="36"/>
        <v>221.08999999999997</v>
      </c>
      <c r="Z18" s="3"/>
      <c r="AA18" s="17"/>
      <c r="AB18" s="17"/>
      <c r="AC18" s="17"/>
      <c r="AD18" s="12">
        <f t="shared" si="37"/>
        <v>-922.22965361794593</v>
      </c>
      <c r="AE18" s="3">
        <f>U18</f>
        <v>-915.75</v>
      </c>
      <c r="AF18" s="3">
        <f>X18</f>
        <v>-1295.6299999999999</v>
      </c>
      <c r="AG18" s="3">
        <f>AW18-AW9</f>
        <v>0</v>
      </c>
      <c r="AH18" s="3">
        <f>AX18-AX9</f>
        <v>-108.06</v>
      </c>
      <c r="AI18" s="3">
        <f t="shared" ref="AI18:AI23" si="42">AY18-AY9</f>
        <v>0</v>
      </c>
      <c r="AJ18" s="3">
        <f t="shared" ref="AJ18:AJ21" si="43">AZ18-AZ9</f>
        <v>-106.98</v>
      </c>
      <c r="AK18" s="3">
        <f t="shared" ref="AK18:AK23" si="44">BA18-BA9</f>
        <v>-164.84</v>
      </c>
      <c r="AL18" s="14"/>
      <c r="AM18" s="14"/>
      <c r="AN18" s="14"/>
      <c r="AO18" s="14"/>
      <c r="AP18" s="14"/>
      <c r="AQ18" s="14"/>
      <c r="AR18" s="14"/>
      <c r="AS18" s="14"/>
      <c r="AT18" s="14">
        <f t="shared" si="38"/>
        <v>84.128078845290005</v>
      </c>
      <c r="AU18" s="12">
        <f>R18</f>
        <v>86.3</v>
      </c>
      <c r="AV18" s="14">
        <f>W18</f>
        <v>122.08999999999999</v>
      </c>
      <c r="AW18" s="14">
        <f>ROUND(AU18*$M$4,2)</f>
        <v>0</v>
      </c>
      <c r="AX18" s="24">
        <f>ROUND((AU18+BA18)*$K$5,2)</f>
        <v>10.18</v>
      </c>
      <c r="AY18" s="14">
        <f t="shared" ref="AY18:AY23" si="45">ROUND(AW18*$K$5,2)</f>
        <v>0</v>
      </c>
      <c r="AZ18" s="24">
        <f>ROUND((AU18+AX18+BA18)*$L$5,2)</f>
        <v>10.08</v>
      </c>
      <c r="BA18" s="14">
        <f>ROUND(AU18*$J$5,2)</f>
        <v>15.53</v>
      </c>
      <c r="BC18">
        <f>((AU18+AX18+BA18)*$L$5)</f>
        <v>10.080900000000009</v>
      </c>
    </row>
    <row r="19" spans="1:55" x14ac:dyDescent="0.25">
      <c r="A19" s="19" t="s">
        <v>52</v>
      </c>
      <c r="B19" s="26">
        <f>B8</f>
        <v>44691</v>
      </c>
      <c r="C19" s="26">
        <f>C8</f>
        <v>45116</v>
      </c>
      <c r="D19" s="9">
        <v>44712</v>
      </c>
      <c r="E19" s="9"/>
      <c r="F19" s="16"/>
      <c r="G19" s="16"/>
      <c r="H19" s="16"/>
      <c r="I19" s="16"/>
      <c r="J19" s="11">
        <f t="shared" ref="J19:J23" si="46">C19-B19</f>
        <v>425</v>
      </c>
      <c r="K19" s="11">
        <f t="shared" si="32"/>
        <v>11</v>
      </c>
      <c r="L19" s="11">
        <f>C19-D19</f>
        <v>404</v>
      </c>
      <c r="M19" s="12">
        <f t="shared" si="39"/>
        <v>8.1694084926506729</v>
      </c>
      <c r="N19" s="12">
        <f t="shared" si="33"/>
        <v>300.04009373007926</v>
      </c>
      <c r="O19" s="12">
        <f t="shared" si="40"/>
        <v>9.7255529411764705</v>
      </c>
      <c r="P19" s="12">
        <f t="shared" si="34"/>
        <v>357.19303529411764</v>
      </c>
      <c r="Q19" s="14">
        <f>M9+M10+M19</f>
        <v>81.050784245038898</v>
      </c>
      <c r="R19" s="14">
        <f>ROUND(O9+O10+O19,2)</f>
        <v>84.86</v>
      </c>
      <c r="S19" s="14"/>
      <c r="T19" s="14"/>
      <c r="U19" s="14">
        <f t="shared" si="35"/>
        <v>-357.19</v>
      </c>
      <c r="V19" s="12"/>
      <c r="W19" s="14">
        <f t="shared" si="41"/>
        <v>120.05</v>
      </c>
      <c r="X19" s="3">
        <f>W19-W10</f>
        <v>-505.37000000000006</v>
      </c>
      <c r="Y19" s="3">
        <f t="shared" si="36"/>
        <v>219.05</v>
      </c>
      <c r="Z19" s="3"/>
      <c r="AA19" s="17"/>
      <c r="AB19" s="17"/>
      <c r="AC19" s="17"/>
      <c r="AD19" s="12">
        <f t="shared" si="37"/>
        <v>-300.04009373007932</v>
      </c>
      <c r="AE19" s="3">
        <f>U19</f>
        <v>-357.19</v>
      </c>
      <c r="AF19" s="3">
        <f t="shared" ref="AF19:AF23" si="47">X19</f>
        <v>-505.37000000000006</v>
      </c>
      <c r="AG19" s="3">
        <f t="shared" ref="AG19:AG23" si="48">AW19-AW10</f>
        <v>0</v>
      </c>
      <c r="AH19" s="3">
        <f>AX19-AX10</f>
        <v>-42.15</v>
      </c>
      <c r="AI19" s="3">
        <f t="shared" si="42"/>
        <v>0</v>
      </c>
      <c r="AJ19" s="3">
        <f t="shared" si="43"/>
        <v>-41.730000000000004</v>
      </c>
      <c r="AK19" s="3">
        <f t="shared" si="44"/>
        <v>-64.3</v>
      </c>
      <c r="AL19" s="12"/>
      <c r="AM19" s="12"/>
      <c r="AN19" s="12"/>
      <c r="AO19" s="12"/>
      <c r="AP19" s="12"/>
      <c r="AQ19" s="12"/>
      <c r="AR19" s="12"/>
      <c r="AS19" s="12"/>
      <c r="AT19" s="14">
        <f t="shared" si="38"/>
        <v>81.050784245038898</v>
      </c>
      <c r="AU19" s="12">
        <f t="shared" si="38"/>
        <v>84.86</v>
      </c>
      <c r="AV19" s="14">
        <f t="shared" ref="AV19:AV23" si="49">W19</f>
        <v>120.05</v>
      </c>
      <c r="AW19" s="14">
        <f t="shared" ref="AW19:AW23" si="50">ROUND(AU19*$M$4,2)</f>
        <v>0</v>
      </c>
      <c r="AX19" s="24">
        <f t="shared" ref="AX19:AX23" si="51">ROUND((AU19+BA19)*$K$5,2)</f>
        <v>10.01</v>
      </c>
      <c r="AY19" s="14">
        <f t="shared" si="45"/>
        <v>0</v>
      </c>
      <c r="AZ19" s="24">
        <f t="shared" ref="AZ19:AZ23" si="52">ROUND((AU19+AX19+BA19)*$L$5,2)</f>
        <v>9.91</v>
      </c>
      <c r="BA19" s="14">
        <f t="shared" ref="BA19:BA23" si="53">ROUND(AU19*$J$5,2)</f>
        <v>15.27</v>
      </c>
    </row>
    <row r="20" spans="1:55" x14ac:dyDescent="0.25">
      <c r="A20" s="19" t="s">
        <v>54</v>
      </c>
      <c r="B20" s="26">
        <f>B8</f>
        <v>44691</v>
      </c>
      <c r="C20" s="26">
        <f>C8</f>
        <v>45116</v>
      </c>
      <c r="D20" s="9">
        <v>44854</v>
      </c>
      <c r="E20" s="9"/>
      <c r="F20" s="27"/>
      <c r="G20" s="27"/>
      <c r="H20" s="16"/>
      <c r="I20" s="16"/>
      <c r="J20" s="11">
        <f t="shared" si="46"/>
        <v>425</v>
      </c>
      <c r="K20" s="11">
        <f t="shared" si="32"/>
        <v>-12</v>
      </c>
      <c r="L20" s="11">
        <f t="shared" ref="L20:L22" si="54">C20-D20</f>
        <v>262</v>
      </c>
      <c r="M20" s="12">
        <f t="shared" si="39"/>
        <v>-40.379716981131942</v>
      </c>
      <c r="N20" s="12">
        <f t="shared" si="33"/>
        <v>881.62382075471407</v>
      </c>
      <c r="O20" s="12">
        <f t="shared" si="40"/>
        <v>-14.958776470588234</v>
      </c>
      <c r="P20" s="12">
        <f t="shared" si="34"/>
        <v>326.59995294117641</v>
      </c>
      <c r="Q20" s="14">
        <f>M9+M10+M11+M20</f>
        <v>155.04278616101641</v>
      </c>
      <c r="R20" s="14">
        <f>ROUND(O9+O10+O11+O20,2)</f>
        <v>206.06</v>
      </c>
      <c r="S20" s="14"/>
      <c r="T20" s="14"/>
      <c r="U20" s="14">
        <f t="shared" si="35"/>
        <v>-326.59999999999997</v>
      </c>
      <c r="V20" s="16"/>
      <c r="W20" s="14">
        <f t="shared" si="41"/>
        <v>291.53999999999996</v>
      </c>
      <c r="X20" s="3">
        <f>W20-W11</f>
        <v>-462.08000000000004</v>
      </c>
      <c r="Y20" s="3">
        <f t="shared" si="36"/>
        <v>390.53999999999996</v>
      </c>
      <c r="Z20" s="3"/>
      <c r="AA20" s="17"/>
      <c r="AB20" s="17"/>
      <c r="AC20" s="17"/>
      <c r="AD20" s="12">
        <f t="shared" si="37"/>
        <v>-881.62382075471396</v>
      </c>
      <c r="AE20" s="3">
        <f t="shared" ref="AE20:AE23" si="55">U20</f>
        <v>-326.59999999999997</v>
      </c>
      <c r="AF20" s="3">
        <f t="shared" si="47"/>
        <v>-462.08000000000004</v>
      </c>
      <c r="AG20" s="3">
        <f t="shared" si="48"/>
        <v>0</v>
      </c>
      <c r="AH20" s="3">
        <f>AX20-AX11</f>
        <v>-38.53</v>
      </c>
      <c r="AI20" s="3">
        <f t="shared" si="42"/>
        <v>0</v>
      </c>
      <c r="AJ20" s="3">
        <f t="shared" si="43"/>
        <v>-38.159999999999997</v>
      </c>
      <c r="AK20" s="3">
        <f t="shared" si="44"/>
        <v>-58.789999999999992</v>
      </c>
      <c r="AL20" s="12"/>
      <c r="AM20" s="12"/>
      <c r="AN20" s="12"/>
      <c r="AO20" s="12"/>
      <c r="AP20" s="12"/>
      <c r="AQ20" s="12"/>
      <c r="AR20" s="12"/>
      <c r="AS20" s="12"/>
      <c r="AT20" s="14">
        <f t="shared" si="38"/>
        <v>155.04278616101641</v>
      </c>
      <c r="AU20" s="12">
        <f t="shared" si="38"/>
        <v>206.06</v>
      </c>
      <c r="AV20" s="14">
        <f t="shared" si="49"/>
        <v>291.53999999999996</v>
      </c>
      <c r="AW20" s="14">
        <f t="shared" si="50"/>
        <v>0</v>
      </c>
      <c r="AX20" s="24">
        <f t="shared" si="51"/>
        <v>24.32</v>
      </c>
      <c r="AY20" s="14">
        <f t="shared" si="45"/>
        <v>0</v>
      </c>
      <c r="AZ20" s="24">
        <f t="shared" si="52"/>
        <v>24.07</v>
      </c>
      <c r="BA20" s="14">
        <f t="shared" si="53"/>
        <v>37.090000000000003</v>
      </c>
    </row>
    <row r="21" spans="1:55" x14ac:dyDescent="0.25">
      <c r="A21" s="19" t="s">
        <v>55</v>
      </c>
      <c r="B21" s="26">
        <f>B8</f>
        <v>44691</v>
      </c>
      <c r="C21" s="26">
        <f>C8</f>
        <v>45116</v>
      </c>
      <c r="D21" s="9">
        <v>44854</v>
      </c>
      <c r="E21" s="9"/>
      <c r="F21" s="27"/>
      <c r="G21" s="27"/>
      <c r="H21" s="16"/>
      <c r="I21" s="16"/>
      <c r="J21" s="11">
        <f t="shared" si="46"/>
        <v>425</v>
      </c>
      <c r="K21" s="11">
        <f t="shared" si="32"/>
        <v>85</v>
      </c>
      <c r="L21" s="11">
        <f t="shared" si="54"/>
        <v>262</v>
      </c>
      <c r="M21" s="12">
        <f t="shared" si="39"/>
        <v>255.4590801886792</v>
      </c>
      <c r="N21" s="12">
        <f t="shared" si="33"/>
        <v>787.41504716981115</v>
      </c>
      <c r="O21" s="12">
        <f t="shared" si="40"/>
        <v>336.17</v>
      </c>
      <c r="P21" s="12">
        <f t="shared" si="34"/>
        <v>1036.1945882352941</v>
      </c>
      <c r="Q21" s="14">
        <f>M9+M10+M11+M12+M21</f>
        <v>124.47887106667764</v>
      </c>
      <c r="R21" s="14">
        <f>ROUND(O9+O10+O11+O12+O21,2)</f>
        <v>436.27</v>
      </c>
      <c r="S21" s="14"/>
      <c r="T21" s="14"/>
      <c r="U21" s="14">
        <f t="shared" si="35"/>
        <v>-1036.2</v>
      </c>
      <c r="V21" s="16"/>
      <c r="W21" s="14">
        <f t="shared" si="41"/>
        <v>617.25</v>
      </c>
      <c r="X21" s="3">
        <f t="shared" ref="X21:X23" si="56">W21-W12</f>
        <v>-1466.02</v>
      </c>
      <c r="Y21" s="3">
        <f t="shared" si="36"/>
        <v>716.25</v>
      </c>
      <c r="Z21" s="3"/>
      <c r="AA21" s="17"/>
      <c r="AB21" s="17"/>
      <c r="AC21" s="17"/>
      <c r="AD21" s="12">
        <f t="shared" si="37"/>
        <v>-787.41504716981149</v>
      </c>
      <c r="AE21" s="3">
        <f t="shared" si="55"/>
        <v>-1036.2</v>
      </c>
      <c r="AF21" s="3">
        <f t="shared" si="47"/>
        <v>-1466.02</v>
      </c>
      <c r="AG21" s="3">
        <f t="shared" si="48"/>
        <v>0</v>
      </c>
      <c r="AH21" s="3">
        <f>AX21-AX12</f>
        <v>-122.27000000000001</v>
      </c>
      <c r="AI21" s="3">
        <f t="shared" si="42"/>
        <v>0</v>
      </c>
      <c r="AJ21" s="3">
        <f t="shared" si="43"/>
        <v>-121.03999999999999</v>
      </c>
      <c r="AK21" s="3">
        <f t="shared" si="44"/>
        <v>-186.51000000000002</v>
      </c>
      <c r="AL21" s="12"/>
      <c r="AM21" s="12"/>
      <c r="AN21" s="12"/>
      <c r="AO21" s="12"/>
      <c r="AP21" s="12"/>
      <c r="AQ21" s="12"/>
      <c r="AR21" s="12"/>
      <c r="AS21" s="12"/>
      <c r="AT21" s="14">
        <f t="shared" si="38"/>
        <v>124.47887106667764</v>
      </c>
      <c r="AU21" s="12">
        <f t="shared" si="38"/>
        <v>436.27</v>
      </c>
      <c r="AV21" s="14">
        <f t="shared" si="49"/>
        <v>617.25</v>
      </c>
      <c r="AW21" s="14">
        <f t="shared" si="50"/>
        <v>0</v>
      </c>
      <c r="AX21" s="24">
        <f t="shared" si="51"/>
        <v>51.48</v>
      </c>
      <c r="AY21" s="14">
        <f t="shared" si="45"/>
        <v>0</v>
      </c>
      <c r="AZ21" s="24">
        <f t="shared" si="52"/>
        <v>50.97</v>
      </c>
      <c r="BA21" s="14">
        <f t="shared" si="53"/>
        <v>78.53</v>
      </c>
    </row>
    <row r="22" spans="1:55" x14ac:dyDescent="0.25">
      <c r="A22" s="19" t="s">
        <v>56</v>
      </c>
      <c r="B22" s="26">
        <f>B8</f>
        <v>44691</v>
      </c>
      <c r="C22" s="26">
        <f>C8</f>
        <v>45116</v>
      </c>
      <c r="D22" s="9">
        <v>44854</v>
      </c>
      <c r="E22" s="9"/>
      <c r="F22" s="27"/>
      <c r="G22" s="27"/>
      <c r="H22" s="16"/>
      <c r="I22" s="16"/>
      <c r="J22" s="11">
        <f t="shared" si="46"/>
        <v>425</v>
      </c>
      <c r="K22" s="11">
        <f t="shared" si="32"/>
        <v>50</v>
      </c>
      <c r="L22" s="11">
        <f t="shared" si="54"/>
        <v>262</v>
      </c>
      <c r="M22" s="12">
        <f t="shared" si="39"/>
        <v>178.21779452054795</v>
      </c>
      <c r="N22" s="12">
        <f t="shared" si="33"/>
        <v>933.8612432876713</v>
      </c>
      <c r="O22" s="12">
        <f t="shared" si="40"/>
        <v>219.51647058823531</v>
      </c>
      <c r="P22" s="12">
        <f t="shared" si="34"/>
        <v>1150.266305882353</v>
      </c>
      <c r="Q22" s="14">
        <f>M9+M10+M11+M12+M13+M22</f>
        <v>152.42661841741432</v>
      </c>
      <c r="R22" s="14">
        <f>ROUND(O9+O10+O11+O12+O13+O22,2)</f>
        <v>458.04</v>
      </c>
      <c r="S22" s="14"/>
      <c r="T22" s="14"/>
      <c r="U22" s="14">
        <f t="shared" si="35"/>
        <v>-1150.27</v>
      </c>
      <c r="V22" s="16"/>
      <c r="W22" s="14">
        <f t="shared" si="41"/>
        <v>648.05000000000007</v>
      </c>
      <c r="X22" s="3">
        <f t="shared" si="56"/>
        <v>-1627.4199999999996</v>
      </c>
      <c r="Y22" s="3">
        <f t="shared" si="36"/>
        <v>747.05000000000007</v>
      </c>
      <c r="Z22" s="3"/>
      <c r="AA22" s="17"/>
      <c r="AB22" s="17"/>
      <c r="AC22" s="17"/>
      <c r="AD22" s="12">
        <f t="shared" si="37"/>
        <v>-933.86124328767119</v>
      </c>
      <c r="AE22" s="3">
        <f t="shared" si="55"/>
        <v>-1150.27</v>
      </c>
      <c r="AF22" s="3">
        <f t="shared" si="47"/>
        <v>-1627.4199999999996</v>
      </c>
      <c r="AG22" s="3">
        <f>AW22-AW13</f>
        <v>0</v>
      </c>
      <c r="AH22" s="3">
        <f>AX22-AX13</f>
        <v>-135.73000000000002</v>
      </c>
      <c r="AI22" s="3">
        <f>AY22-AY13</f>
        <v>0</v>
      </c>
      <c r="AJ22" s="3">
        <f>AZ22-AZ13</f>
        <v>-134.37</v>
      </c>
      <c r="AK22" s="3">
        <f>BA22-BA13</f>
        <v>-207.05</v>
      </c>
      <c r="AL22" s="12"/>
      <c r="AM22" s="12"/>
      <c r="AN22" s="12"/>
      <c r="AO22" s="12"/>
      <c r="AP22" s="12"/>
      <c r="AQ22" s="12"/>
      <c r="AR22" s="12"/>
      <c r="AS22" s="12"/>
      <c r="AT22" s="14">
        <f t="shared" si="38"/>
        <v>152.42661841741432</v>
      </c>
      <c r="AU22" s="12">
        <f t="shared" si="38"/>
        <v>458.04</v>
      </c>
      <c r="AV22" s="14">
        <f t="shared" si="49"/>
        <v>648.05000000000007</v>
      </c>
      <c r="AW22" s="14">
        <f t="shared" si="50"/>
        <v>0</v>
      </c>
      <c r="AX22" s="24">
        <f t="shared" si="51"/>
        <v>54.05</v>
      </c>
      <c r="AY22" s="14">
        <f t="shared" si="45"/>
        <v>0</v>
      </c>
      <c r="AZ22" s="24">
        <f t="shared" si="52"/>
        <v>53.51</v>
      </c>
      <c r="BA22" s="14">
        <f t="shared" si="53"/>
        <v>82.45</v>
      </c>
    </row>
    <row r="23" spans="1:55" x14ac:dyDescent="0.25">
      <c r="A23" s="19" t="s">
        <v>57</v>
      </c>
      <c r="B23" s="26">
        <f>B8</f>
        <v>44691</v>
      </c>
      <c r="C23" s="26">
        <f>C8</f>
        <v>45116</v>
      </c>
      <c r="D23" s="9">
        <v>44854</v>
      </c>
      <c r="E23" s="9"/>
      <c r="F23" s="27"/>
      <c r="G23" s="27"/>
      <c r="H23" s="16"/>
      <c r="I23" s="16"/>
      <c r="J23" s="11">
        <f t="shared" si="46"/>
        <v>425</v>
      </c>
      <c r="K23" s="11">
        <f t="shared" si="32"/>
        <v>30</v>
      </c>
      <c r="L23" s="11">
        <f>C23-D23</f>
        <v>262</v>
      </c>
      <c r="M23" s="12">
        <f>F14/J23*K23</f>
        <v>113.33899479452054</v>
      </c>
      <c r="N23" s="12">
        <f>F14/J23*L23</f>
        <v>989.82722120547942</v>
      </c>
      <c r="O23" s="12">
        <f t="shared" si="40"/>
        <v>141.01623529411765</v>
      </c>
      <c r="P23" s="12">
        <f t="shared" si="34"/>
        <v>1231.5417882352942</v>
      </c>
      <c r="Q23" s="14">
        <f>M9+M10+M11+M12+M13+M14+M23</f>
        <v>158.8349364996061</v>
      </c>
      <c r="R23" s="14">
        <f>ROUND(O9+O10+O11+O12+O13+O14+O23,2)</f>
        <v>467.35</v>
      </c>
      <c r="S23" s="14"/>
      <c r="T23" s="14"/>
      <c r="U23" s="14">
        <f t="shared" si="35"/>
        <v>-1231.54</v>
      </c>
      <c r="V23" s="16"/>
      <c r="W23" s="14">
        <f t="shared" si="41"/>
        <v>661.22</v>
      </c>
      <c r="X23" s="3">
        <f t="shared" si="56"/>
        <v>-1742.4000000000003</v>
      </c>
      <c r="Y23" s="3">
        <f t="shared" si="36"/>
        <v>760.22</v>
      </c>
      <c r="Z23" s="3"/>
      <c r="AA23" s="17"/>
      <c r="AB23" s="17"/>
      <c r="AC23" s="17"/>
      <c r="AD23" s="12">
        <f t="shared" si="37"/>
        <v>-989.82722120547942</v>
      </c>
      <c r="AE23" s="3">
        <f t="shared" si="55"/>
        <v>-1231.54</v>
      </c>
      <c r="AF23" s="3">
        <f t="shared" si="47"/>
        <v>-1742.4000000000003</v>
      </c>
      <c r="AG23" s="3">
        <f t="shared" si="48"/>
        <v>0</v>
      </c>
      <c r="AH23" s="3">
        <f>AX23-AX14</f>
        <v>-145.32</v>
      </c>
      <c r="AI23" s="3">
        <f t="shared" si="42"/>
        <v>0</v>
      </c>
      <c r="AJ23" s="3">
        <f>AZ23-AZ14</f>
        <v>-143.86000000000001</v>
      </c>
      <c r="AK23" s="3">
        <f t="shared" si="44"/>
        <v>-221.68</v>
      </c>
      <c r="AL23" s="12"/>
      <c r="AM23" s="12"/>
      <c r="AN23" s="12"/>
      <c r="AO23" s="12"/>
      <c r="AP23" s="12"/>
      <c r="AQ23" s="12"/>
      <c r="AR23" s="12"/>
      <c r="AS23" s="12"/>
      <c r="AT23" s="14">
        <f t="shared" si="38"/>
        <v>158.8349364996061</v>
      </c>
      <c r="AU23" s="12">
        <f t="shared" si="38"/>
        <v>467.35</v>
      </c>
      <c r="AV23" s="14">
        <f t="shared" si="49"/>
        <v>661.22</v>
      </c>
      <c r="AW23" s="14">
        <f t="shared" si="50"/>
        <v>0</v>
      </c>
      <c r="AX23" s="24">
        <f t="shared" si="51"/>
        <v>55.15</v>
      </c>
      <c r="AY23" s="14">
        <f t="shared" si="45"/>
        <v>0</v>
      </c>
      <c r="AZ23" s="24">
        <f t="shared" si="52"/>
        <v>54.6</v>
      </c>
      <c r="BA23" s="14">
        <f t="shared" si="53"/>
        <v>84.12</v>
      </c>
    </row>
  </sheetData>
  <mergeCells count="3">
    <mergeCell ref="K1:L1"/>
    <mergeCell ref="K2:L2"/>
    <mergeCell ref="AL6:AS6"/>
  </mergeCells>
  <conditionalFormatting sqref="T8:T14">
    <cfRule type="expression" dxfId="4" priority="1">
      <formula>R8&lt;&gt;T8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AA207-4C4F-4138-AF96-87D0A5FC953C}">
  <dimension ref="A1:BB23"/>
  <sheetViews>
    <sheetView topLeftCell="AN7" workbookViewId="0">
      <selection activeCell="AY18" sqref="AY18"/>
    </sheetView>
  </sheetViews>
  <sheetFormatPr defaultRowHeight="15" x14ac:dyDescent="0.25"/>
  <cols>
    <col min="1" max="1" width="17" bestFit="1" customWidth="1"/>
    <col min="2" max="2" width="10.140625" bestFit="1" customWidth="1"/>
    <col min="3" max="4" width="11" bestFit="1" customWidth="1"/>
    <col min="5" max="5" width="22.28515625" bestFit="1" customWidth="1"/>
    <col min="6" max="6" width="13.28515625" bestFit="1" customWidth="1"/>
    <col min="7" max="7" width="16" bestFit="1" customWidth="1"/>
    <col min="8" max="8" width="16" style="1" bestFit="1" customWidth="1"/>
    <col min="9" max="9" width="6.42578125" style="1" bestFit="1" customWidth="1"/>
    <col min="10" max="10" width="12.5703125" style="1" bestFit="1" customWidth="1"/>
    <col min="11" max="11" width="10.42578125" style="1" bestFit="1" customWidth="1"/>
    <col min="12" max="12" width="15.140625" style="1" bestFit="1" customWidth="1"/>
    <col min="13" max="13" width="11.85546875" style="1" bestFit="1" customWidth="1"/>
    <col min="14" max="14" width="10.28515625" style="1" customWidth="1"/>
    <col min="15" max="15" width="9.7109375" style="1" bestFit="1" customWidth="1"/>
    <col min="16" max="18" width="11.7109375" style="1" bestFit="1" customWidth="1"/>
    <col min="19" max="19" width="16" style="1" bestFit="1" customWidth="1"/>
    <col min="20" max="20" width="15.7109375" style="1" customWidth="1"/>
    <col min="21" max="21" width="8.42578125" style="1" bestFit="1" customWidth="1"/>
    <col min="22" max="22" width="9.42578125" style="1" bestFit="1" customWidth="1"/>
    <col min="23" max="24" width="8.42578125" style="1" bestFit="1" customWidth="1"/>
    <col min="25" max="26" width="8.42578125" style="1" customWidth="1"/>
    <col min="27" max="27" width="3.85546875" style="1" customWidth="1"/>
    <col min="28" max="28" width="8.28515625" style="1" bestFit="1" customWidth="1"/>
    <col min="29" max="29" width="8.28515625" style="1" customWidth="1"/>
    <col min="30" max="30" width="9.140625" style="1" bestFit="1"/>
    <col min="31" max="31" width="10" style="1" bestFit="1" customWidth="1"/>
    <col min="32" max="32" width="9.140625" style="1" bestFit="1"/>
    <col min="33" max="33" width="11.85546875" style="1" bestFit="1" customWidth="1"/>
    <col min="34" max="34" width="7.42578125" style="1" bestFit="1" customWidth="1"/>
    <col min="35" max="35" width="11.85546875" style="1" bestFit="1" customWidth="1"/>
    <col min="36" max="36" width="9.5703125" style="1" bestFit="1" customWidth="1"/>
    <col min="37" max="37" width="6.85546875" style="1" bestFit="1" customWidth="1"/>
    <col min="38" max="38" width="9.140625" style="1" bestFit="1"/>
    <col min="39" max="39" width="9.85546875" style="1" bestFit="1" customWidth="1"/>
    <col min="40" max="40" width="10.7109375" style="1" bestFit="1" customWidth="1"/>
    <col min="41" max="41" width="11.85546875" style="1" bestFit="1" customWidth="1"/>
    <col min="42" max="42" width="8.7109375" style="1" bestFit="1" customWidth="1"/>
    <col min="43" max="43" width="11.85546875" style="1" customWidth="1"/>
    <col min="44" max="45" width="9.7109375" style="1" bestFit="1" customWidth="1"/>
    <col min="46" max="46" width="9.140625" style="1" bestFit="1"/>
    <col min="47" max="47" width="10" style="1" bestFit="1" customWidth="1"/>
    <col min="48" max="48" width="10.7109375" style="1" bestFit="1" customWidth="1"/>
    <col min="49" max="49" width="11.85546875" style="1" bestFit="1" customWidth="1"/>
    <col min="50" max="50" width="8.7109375" style="1" bestFit="1" customWidth="1"/>
    <col min="51" max="51" width="11.85546875" style="1" bestFit="1" customWidth="1"/>
    <col min="52" max="52" width="9.140625" style="1" bestFit="1"/>
    <col min="53" max="53" width="6.5703125" style="1" bestFit="1" customWidth="1"/>
    <col min="54" max="54" width="13.28515625" style="1" bestFit="1" customWidth="1"/>
    <col min="55" max="57" width="14.85546875" customWidth="1"/>
    <col min="58" max="58" width="5.140625" bestFit="1" customWidth="1"/>
    <col min="59" max="59" width="8.140625" bestFit="1" customWidth="1"/>
  </cols>
  <sheetData>
    <row r="1" spans="1:54" x14ac:dyDescent="0.25">
      <c r="K1" s="37"/>
      <c r="L1" s="37"/>
    </row>
    <row r="2" spans="1:54" x14ac:dyDescent="0.25">
      <c r="K2" s="38"/>
      <c r="L2" s="38"/>
    </row>
    <row r="3" spans="1:54" ht="30" customHeight="1" x14ac:dyDescent="0.25">
      <c r="J3" s="6" t="s">
        <v>1</v>
      </c>
      <c r="K3" s="6" t="s">
        <v>2</v>
      </c>
      <c r="L3" s="6" t="s">
        <v>3</v>
      </c>
      <c r="M3" s="6" t="s">
        <v>51</v>
      </c>
      <c r="AL3" s="1">
        <f>AL4+AL9</f>
        <v>681.49426414793606</v>
      </c>
      <c r="AM3" s="1">
        <f t="shared" ref="AM3:AS3" si="0">AM4+AM9</f>
        <v>811.30269541420955</v>
      </c>
      <c r="AN3" s="1">
        <f t="shared" si="0"/>
        <v>990.60269541420962</v>
      </c>
      <c r="AO3" s="1">
        <f t="shared" si="0"/>
        <v>121.7</v>
      </c>
      <c r="AP3" s="1">
        <f t="shared" si="0"/>
        <v>81.13</v>
      </c>
      <c r="AQ3" s="1">
        <f t="shared" si="0"/>
        <v>12.17</v>
      </c>
      <c r="AR3" s="1">
        <f t="shared" si="0"/>
        <v>98.169999999999987</v>
      </c>
      <c r="AS3" s="1">
        <f t="shared" si="0"/>
        <v>0</v>
      </c>
      <c r="AU3" s="34"/>
      <c r="AV3" s="34"/>
    </row>
    <row r="4" spans="1:54" x14ac:dyDescent="0.25">
      <c r="J4" s="7">
        <v>1</v>
      </c>
      <c r="K4" s="7">
        <v>1.1000000000000001</v>
      </c>
      <c r="L4" s="7">
        <v>1.1100000000000001</v>
      </c>
      <c r="M4" s="18">
        <v>0.15</v>
      </c>
      <c r="AL4" s="1">
        <v>271.07582725613599</v>
      </c>
      <c r="AM4" s="1">
        <v>322.70931816206667</v>
      </c>
      <c r="AN4" s="1">
        <v>394.02931816206666</v>
      </c>
      <c r="AO4" s="1">
        <v>48.41</v>
      </c>
      <c r="AP4" s="1">
        <v>32.270000000000003</v>
      </c>
      <c r="AQ4" s="1">
        <v>4.84</v>
      </c>
      <c r="AR4" s="1">
        <v>39.049999999999997</v>
      </c>
      <c r="AS4" s="1">
        <v>0</v>
      </c>
      <c r="AV4" s="29"/>
    </row>
    <row r="5" spans="1:54" x14ac:dyDescent="0.25">
      <c r="J5" s="15">
        <f>J4-1</f>
        <v>0</v>
      </c>
      <c r="K5" s="15">
        <f>K4-1</f>
        <v>0.10000000000000009</v>
      </c>
      <c r="L5" s="15">
        <f>L4-1</f>
        <v>0.1100000000000001</v>
      </c>
      <c r="M5" s="16"/>
    </row>
    <row r="6" spans="1:54" x14ac:dyDescent="0.25">
      <c r="AL6" s="39" t="s">
        <v>67</v>
      </c>
      <c r="AM6" s="40"/>
      <c r="AN6" s="40"/>
      <c r="AO6" s="40"/>
      <c r="AP6" s="40"/>
      <c r="AQ6" s="40"/>
      <c r="AR6" s="40"/>
      <c r="AS6" s="41"/>
    </row>
    <row r="7" spans="1:54" ht="75" x14ac:dyDescent="0.25">
      <c r="A7" s="5" t="s">
        <v>10</v>
      </c>
      <c r="B7" s="4" t="s">
        <v>5</v>
      </c>
      <c r="C7" s="4" t="s">
        <v>4</v>
      </c>
      <c r="D7" s="4" t="s">
        <v>58</v>
      </c>
      <c r="E7" s="4" t="s">
        <v>66</v>
      </c>
      <c r="F7" s="4" t="s">
        <v>68</v>
      </c>
      <c r="G7" s="6" t="s">
        <v>65</v>
      </c>
      <c r="H7" s="6" t="s">
        <v>69</v>
      </c>
      <c r="I7" s="2" t="s">
        <v>60</v>
      </c>
      <c r="J7" s="6" t="s">
        <v>7</v>
      </c>
      <c r="K7" s="6" t="s">
        <v>8</v>
      </c>
      <c r="L7" s="6" t="s">
        <v>9</v>
      </c>
      <c r="M7" s="6" t="s">
        <v>22</v>
      </c>
      <c r="N7" s="6" t="s">
        <v>23</v>
      </c>
      <c r="O7" s="6" t="s">
        <v>18</v>
      </c>
      <c r="P7" s="6" t="s">
        <v>19</v>
      </c>
      <c r="Q7" s="6" t="s">
        <v>24</v>
      </c>
      <c r="R7" s="6" t="s">
        <v>20</v>
      </c>
      <c r="S7" s="6" t="s">
        <v>71</v>
      </c>
      <c r="T7" s="6" t="s">
        <v>70</v>
      </c>
      <c r="U7" s="6" t="s">
        <v>6</v>
      </c>
      <c r="V7" s="6" t="s">
        <v>21</v>
      </c>
      <c r="W7" s="6" t="s">
        <v>48</v>
      </c>
      <c r="X7" s="6" t="s">
        <v>49</v>
      </c>
      <c r="Y7" s="6" t="s">
        <v>62</v>
      </c>
      <c r="Z7" s="6" t="s">
        <v>61</v>
      </c>
      <c r="AA7" s="17"/>
      <c r="AB7" s="6" t="s">
        <v>63</v>
      </c>
      <c r="AC7" s="6" t="s">
        <v>64</v>
      </c>
      <c r="AD7" s="6" t="s">
        <v>25</v>
      </c>
      <c r="AE7" s="6" t="s">
        <v>26</v>
      </c>
      <c r="AF7" s="6" t="s">
        <v>50</v>
      </c>
      <c r="AG7" s="6" t="s">
        <v>27</v>
      </c>
      <c r="AH7" s="6" t="s">
        <v>28</v>
      </c>
      <c r="AI7" s="6" t="s">
        <v>29</v>
      </c>
      <c r="AJ7" s="6" t="s">
        <v>30</v>
      </c>
      <c r="AK7" s="6" t="s">
        <v>31</v>
      </c>
      <c r="AL7" s="6" t="s">
        <v>32</v>
      </c>
      <c r="AM7" s="6" t="s">
        <v>33</v>
      </c>
      <c r="AN7" s="6" t="s">
        <v>34</v>
      </c>
      <c r="AO7" s="6" t="s">
        <v>35</v>
      </c>
      <c r="AP7" s="6" t="s">
        <v>36</v>
      </c>
      <c r="AQ7" s="6" t="s">
        <v>37</v>
      </c>
      <c r="AR7" s="6" t="s">
        <v>38</v>
      </c>
      <c r="AS7" s="6" t="s">
        <v>39</v>
      </c>
      <c r="AT7" s="6" t="s">
        <v>40</v>
      </c>
      <c r="AU7" s="6" t="s">
        <v>41</v>
      </c>
      <c r="AV7" s="6" t="s">
        <v>42</v>
      </c>
      <c r="AW7" s="6" t="s">
        <v>43</v>
      </c>
      <c r="AX7" s="6" t="s">
        <v>44</v>
      </c>
      <c r="AY7" s="6" t="s">
        <v>45</v>
      </c>
      <c r="AZ7" s="6" t="s">
        <v>46</v>
      </c>
      <c r="BA7" s="6" t="s">
        <v>47</v>
      </c>
    </row>
    <row r="8" spans="1:54" x14ac:dyDescent="0.25">
      <c r="A8" s="8" t="s">
        <v>11</v>
      </c>
      <c r="B8" s="9">
        <v>44701</v>
      </c>
      <c r="C8" s="9">
        <v>45102</v>
      </c>
      <c r="D8" s="9">
        <f>B8</f>
        <v>44701</v>
      </c>
      <c r="E8" s="32">
        <v>380.33615514307701</v>
      </c>
      <c r="F8" s="31">
        <f>E8/365*J8</f>
        <v>417.84876222568181</v>
      </c>
      <c r="G8" s="32">
        <v>452.78113707509169</v>
      </c>
      <c r="H8" s="31">
        <f>ROUND(G8/365*J8,2)</f>
        <v>497.44</v>
      </c>
      <c r="I8" s="10">
        <v>90</v>
      </c>
      <c r="J8" s="11">
        <f>C8-B8</f>
        <v>401</v>
      </c>
      <c r="K8" s="11" t="s">
        <v>0</v>
      </c>
      <c r="L8" s="11" t="s">
        <v>0</v>
      </c>
      <c r="M8" s="11" t="s">
        <v>0</v>
      </c>
      <c r="N8" s="11" t="s">
        <v>0</v>
      </c>
      <c r="O8" s="12" t="s">
        <v>0</v>
      </c>
      <c r="P8" s="12" t="s">
        <v>0</v>
      </c>
      <c r="Q8" s="12">
        <f>F8</f>
        <v>417.84876222568181</v>
      </c>
      <c r="R8" s="14">
        <f>H8</f>
        <v>497.44</v>
      </c>
      <c r="S8" s="33">
        <f>G8/365*J8</f>
        <v>497.43900264962133</v>
      </c>
      <c r="T8" s="14">
        <f>R8</f>
        <v>497.44</v>
      </c>
      <c r="U8" s="14">
        <v>0</v>
      </c>
      <c r="V8" s="12">
        <f>AN8</f>
        <v>552.85113707509163</v>
      </c>
      <c r="W8" s="3">
        <f t="shared" ref="W8:W13" si="1">AU8+AX8+AZ8+BA8</f>
        <v>607.36999999999989</v>
      </c>
      <c r="X8" s="3">
        <f>U8*J4*K4*L4</f>
        <v>0</v>
      </c>
      <c r="Y8" s="3">
        <f>W8+(I8*K5)+I8</f>
        <v>706.36999999999989</v>
      </c>
      <c r="Z8" s="3">
        <f>X8</f>
        <v>0</v>
      </c>
      <c r="AA8" s="17"/>
      <c r="AB8" s="14"/>
      <c r="AC8" s="14"/>
      <c r="AD8" s="14">
        <v>0</v>
      </c>
      <c r="AE8" s="12">
        <v>0</v>
      </c>
      <c r="AF8" s="12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f t="shared" ref="AL8:AL14" si="2">E8</f>
        <v>380.33615514307701</v>
      </c>
      <c r="AM8" s="14">
        <f t="shared" ref="AM8:AM14" si="3">G8</f>
        <v>452.78113707509169</v>
      </c>
      <c r="AN8" s="14">
        <f>AM8+AP8+AR8+AS8</f>
        <v>552.85113707509163</v>
      </c>
      <c r="AO8" s="14">
        <f>ROUND(AM8*M4,2)</f>
        <v>67.92</v>
      </c>
      <c r="AP8" s="14">
        <f>ROUND((AM8+AS8)*K5,2)</f>
        <v>45.28</v>
      </c>
      <c r="AQ8" s="14">
        <f>ROUND(AO8*K5,2)</f>
        <v>6.79</v>
      </c>
      <c r="AR8" s="14">
        <f>ROUND((AM8+AP8+AS8)*L5,2)</f>
        <v>54.79</v>
      </c>
      <c r="AS8" s="14">
        <f>ROUND(AM8*J5,2)</f>
        <v>0</v>
      </c>
      <c r="AT8" s="14">
        <f t="shared" ref="AT8:AU14" si="4">Q8</f>
        <v>417.84876222568181</v>
      </c>
      <c r="AU8" s="14">
        <f t="shared" si="4"/>
        <v>497.44</v>
      </c>
      <c r="AV8" s="14">
        <f>W8</f>
        <v>607.36999999999989</v>
      </c>
      <c r="AW8" s="14">
        <f>ROUND(AU8*$M$4,2)</f>
        <v>74.62</v>
      </c>
      <c r="AX8" s="14">
        <f>ROUND((AU8+BA8)*$K$5,2)</f>
        <v>49.74</v>
      </c>
      <c r="AY8" s="14">
        <f>ROUND(AW8*$K$5,2)</f>
        <v>7.46</v>
      </c>
      <c r="AZ8" s="14">
        <f>ROUND((AU8+AX8+BA8)*$L$5,2)</f>
        <v>60.19</v>
      </c>
      <c r="BA8" s="14">
        <f>ROUND(AU8*J5,2)</f>
        <v>0</v>
      </c>
    </row>
    <row r="9" spans="1:54" x14ac:dyDescent="0.25">
      <c r="A9" s="8" t="s">
        <v>12</v>
      </c>
      <c r="B9" s="13">
        <f>B8</f>
        <v>44701</v>
      </c>
      <c r="C9" s="13">
        <f>C8</f>
        <v>45102</v>
      </c>
      <c r="D9" s="9">
        <v>44709</v>
      </c>
      <c r="E9" s="32">
        <v>410.41843689180001</v>
      </c>
      <c r="F9" s="31">
        <f>E9/365*J9</f>
        <v>450.89806354414196</v>
      </c>
      <c r="G9" s="32">
        <v>488.59337725214289</v>
      </c>
      <c r="H9" s="31">
        <f>ROUND(G9/365*J9,2)</f>
        <v>536.78</v>
      </c>
      <c r="I9" s="10">
        <v>90</v>
      </c>
      <c r="J9" s="11">
        <f>C9-B9</f>
        <v>401</v>
      </c>
      <c r="K9" s="11">
        <f>D9-D8</f>
        <v>8</v>
      </c>
      <c r="L9" s="11">
        <f>C9-D9</f>
        <v>393</v>
      </c>
      <c r="M9" s="12">
        <f>E8/365*K9</f>
        <v>8.3361349072455226</v>
      </c>
      <c r="N9" s="12">
        <f>E9/365*L9</f>
        <v>441.9025909547326</v>
      </c>
      <c r="O9" s="12">
        <f t="shared" ref="O9:O14" si="5">G8/365*K9</f>
        <v>9.9239701276732433</v>
      </c>
      <c r="P9" s="12">
        <f>G9/365*L9</f>
        <v>526.07451304134838</v>
      </c>
      <c r="Q9" s="14">
        <f>M9+N9</f>
        <v>450.23872586197814</v>
      </c>
      <c r="R9" s="14">
        <f>ROUND(O9+P9,2)</f>
        <v>536</v>
      </c>
      <c r="S9" s="33">
        <f>S8-(G8/365*L9)+P9</f>
        <v>535.99848316902171</v>
      </c>
      <c r="T9" s="14">
        <f>ROUND(S9,2)</f>
        <v>536</v>
      </c>
      <c r="U9" s="14">
        <f t="shared" ref="U9:U14" si="6">R9-R8</f>
        <v>38.56</v>
      </c>
      <c r="V9" s="12">
        <f t="shared" ref="V9:V14" si="7">AN9</f>
        <v>596.5733772521429</v>
      </c>
      <c r="W9" s="3">
        <f>AU9+AX9+AZ9+BA9</f>
        <v>654.46</v>
      </c>
      <c r="X9" s="3">
        <f>W9-W8</f>
        <v>47.090000000000146</v>
      </c>
      <c r="Y9" s="3">
        <f>W9+(I9*K5)+I9</f>
        <v>753.46</v>
      </c>
      <c r="Z9" s="3">
        <f>Y9-Y8</f>
        <v>47.090000000000146</v>
      </c>
      <c r="AA9" s="17"/>
      <c r="AB9" s="14">
        <f t="shared" ref="AB9:AB14" si="8">I9-I8</f>
        <v>0</v>
      </c>
      <c r="AC9" s="14">
        <f t="shared" ref="AC9:AC14" si="9">(I9*$K$5)-(I8*$K$5)</f>
        <v>0</v>
      </c>
      <c r="AD9" s="14">
        <f>Q9-Q8</f>
        <v>32.389963636296329</v>
      </c>
      <c r="AE9" s="12">
        <f>U9</f>
        <v>38.56</v>
      </c>
      <c r="AF9" s="12">
        <f>X9</f>
        <v>47.090000000000146</v>
      </c>
      <c r="AG9" s="14">
        <f>AW9-AW8</f>
        <v>5.7800000000000011</v>
      </c>
      <c r="AH9" s="30">
        <f>AX9-AX8</f>
        <v>3.8599999999999994</v>
      </c>
      <c r="AI9" s="30">
        <f>AY9-AY8</f>
        <v>0.57999999999999918</v>
      </c>
      <c r="AJ9" s="14">
        <f>AZ9-AZ8</f>
        <v>4.6700000000000017</v>
      </c>
      <c r="AK9" s="14">
        <f>BA9-BA8</f>
        <v>0</v>
      </c>
      <c r="AL9" s="14">
        <f t="shared" si="2"/>
        <v>410.41843689180001</v>
      </c>
      <c r="AM9" s="14">
        <f t="shared" si="3"/>
        <v>488.59337725214289</v>
      </c>
      <c r="AN9" s="14">
        <f>AM9+AP9+AR9+AS9</f>
        <v>596.5733772521429</v>
      </c>
      <c r="AO9" s="14">
        <f>ROUND(AM9*M4,2)</f>
        <v>73.290000000000006</v>
      </c>
      <c r="AP9" s="14">
        <f>ROUND((AM9+AS9)*K5,2)</f>
        <v>48.86</v>
      </c>
      <c r="AQ9" s="14">
        <f>ROUND(AO9*K5,2)</f>
        <v>7.33</v>
      </c>
      <c r="AR9" s="14">
        <f>ROUND((AM9+AP9+AS9)*L5,2)</f>
        <v>59.12</v>
      </c>
      <c r="AS9" s="14">
        <f>ROUND(AM9*J5,2)</f>
        <v>0</v>
      </c>
      <c r="AT9" s="14">
        <f>Q9</f>
        <v>450.23872586197814</v>
      </c>
      <c r="AU9" s="14">
        <f t="shared" si="4"/>
        <v>536</v>
      </c>
      <c r="AV9" s="14">
        <f>W9</f>
        <v>654.46</v>
      </c>
      <c r="AW9" s="14">
        <f>ROUND(AU9*$M$4,2)</f>
        <v>80.400000000000006</v>
      </c>
      <c r="AX9" s="14">
        <f>ROUND((AU9+BA9)*$K$5,2)</f>
        <v>53.6</v>
      </c>
      <c r="AY9" s="14">
        <f t="shared" ref="AY9:AY14" si="10">ROUND(AW9*$K$5,2)</f>
        <v>8.0399999999999991</v>
      </c>
      <c r="AZ9" s="14">
        <f>ROUND((AU9+AX9+BA9)*$L$5,2)</f>
        <v>64.86</v>
      </c>
      <c r="BA9" s="14">
        <f>ROUND(AU9*J5,2)</f>
        <v>0</v>
      </c>
      <c r="BB9" s="29">
        <f>AU9*M4</f>
        <v>80.399999999999991</v>
      </c>
    </row>
    <row r="10" spans="1:54" x14ac:dyDescent="0.25">
      <c r="A10" s="8" t="s">
        <v>13</v>
      </c>
      <c r="B10" s="13">
        <f>B8</f>
        <v>44701</v>
      </c>
      <c r="C10" s="13">
        <f>C8</f>
        <v>45102</v>
      </c>
      <c r="D10" s="9">
        <v>44666</v>
      </c>
      <c r="E10" s="32">
        <v>1846.49848939751</v>
      </c>
      <c r="F10" s="31">
        <f t="shared" ref="F10:F14" si="11">E10/365*J10</f>
        <v>2028.6188883517848</v>
      </c>
      <c r="G10" s="32">
        <v>2198.2124873779899</v>
      </c>
      <c r="H10" s="31">
        <f t="shared" ref="H10:H14" si="12">ROUND(G10/365*J10,2)</f>
        <v>2415.02</v>
      </c>
      <c r="I10" s="10">
        <v>90</v>
      </c>
      <c r="J10" s="11">
        <f>C10-B10</f>
        <v>401</v>
      </c>
      <c r="K10" s="11">
        <f>D10-D9</f>
        <v>-43</v>
      </c>
      <c r="L10" s="11">
        <f t="shared" ref="L10:L14" si="13">C10-D10</f>
        <v>436</v>
      </c>
      <c r="M10" s="12">
        <f t="shared" ref="M10:M14" si="14">E9/365*K10</f>
        <v>-48.350665168075068</v>
      </c>
      <c r="N10" s="12">
        <f t="shared" ref="N10:N14" si="15">E10/365*L10</f>
        <v>2205.6803873351078</v>
      </c>
      <c r="O10" s="12">
        <f t="shared" si="5"/>
        <v>-57.560315676279849</v>
      </c>
      <c r="P10" s="12">
        <f t="shared" ref="P10:P14" si="16">G10/365*L10</f>
        <v>2625.8099849227497</v>
      </c>
      <c r="Q10" s="14">
        <f>SUM(M9:M10)+N10</f>
        <v>2165.6658570742784</v>
      </c>
      <c r="R10" s="14">
        <f>ROUND(SUM(O9:O10)+P10,2)</f>
        <v>2578.17</v>
      </c>
      <c r="S10" s="33">
        <f>S9-(G9/365*L10)+P10</f>
        <v>2578.173639374143</v>
      </c>
      <c r="T10" s="14">
        <f>ROUND(S10,2)</f>
        <v>2578.17</v>
      </c>
      <c r="U10" s="14">
        <f t="shared" si="6"/>
        <v>2042.17</v>
      </c>
      <c r="V10" s="12">
        <f t="shared" si="7"/>
        <v>2684.0124873779901</v>
      </c>
      <c r="W10" s="3">
        <f t="shared" si="1"/>
        <v>3147.9500000000003</v>
      </c>
      <c r="X10" s="3">
        <f>W10-W9</f>
        <v>2493.4900000000002</v>
      </c>
      <c r="Y10" s="3">
        <f>W10+(I10*K5)+I10</f>
        <v>3246.9500000000003</v>
      </c>
      <c r="Z10" s="3">
        <f>Y10-Y9</f>
        <v>2493.4900000000002</v>
      </c>
      <c r="AA10" s="17"/>
      <c r="AB10" s="14">
        <f t="shared" si="8"/>
        <v>0</v>
      </c>
      <c r="AC10" s="14">
        <f t="shared" si="9"/>
        <v>0</v>
      </c>
      <c r="AD10" s="14">
        <f t="shared" ref="AD10:AD14" si="17">Q10-Q9</f>
        <v>1715.4271312123003</v>
      </c>
      <c r="AE10" s="12">
        <f>U10</f>
        <v>2042.17</v>
      </c>
      <c r="AF10" s="12">
        <f t="shared" ref="AF10:AF13" si="18">X10</f>
        <v>2493.4900000000002</v>
      </c>
      <c r="AG10" s="14">
        <f>AW10-AW9</f>
        <v>306.33000000000004</v>
      </c>
      <c r="AH10" s="30">
        <f>AX10-AX9</f>
        <v>204.22</v>
      </c>
      <c r="AI10" s="30">
        <f t="shared" ref="AG10:AK14" si="19">AY10-AY9</f>
        <v>30.630000000000003</v>
      </c>
      <c r="AJ10" s="14">
        <f>AZ10-AZ9</f>
        <v>247.09999999999997</v>
      </c>
      <c r="AK10" s="14">
        <f t="shared" si="19"/>
        <v>0</v>
      </c>
      <c r="AL10" s="14">
        <f t="shared" si="2"/>
        <v>1846.49848939751</v>
      </c>
      <c r="AM10" s="14">
        <f t="shared" si="3"/>
        <v>2198.2124873779899</v>
      </c>
      <c r="AN10" s="14">
        <f t="shared" ref="AN10:AN14" si="20">AM10+AP10+AR10+AS10</f>
        <v>2684.0124873779901</v>
      </c>
      <c r="AO10" s="14">
        <f>ROUND(AM10*M4,2)</f>
        <v>329.73</v>
      </c>
      <c r="AP10" s="14">
        <f>ROUND((AM10+AS10)*K5,2)</f>
        <v>219.82</v>
      </c>
      <c r="AQ10" s="14">
        <f>ROUND(AO10*K5,2)</f>
        <v>32.97</v>
      </c>
      <c r="AR10" s="14">
        <f>ROUND((AM10+AP10+AS10)*L5,2)</f>
        <v>265.98</v>
      </c>
      <c r="AS10" s="14">
        <f>ROUND(AM10*J5,2)</f>
        <v>0</v>
      </c>
      <c r="AT10" s="14">
        <f t="shared" si="4"/>
        <v>2165.6658570742784</v>
      </c>
      <c r="AU10" s="14">
        <f t="shared" si="4"/>
        <v>2578.17</v>
      </c>
      <c r="AV10" s="14">
        <f t="shared" ref="AV10:AV14" si="21">W10</f>
        <v>3147.9500000000003</v>
      </c>
      <c r="AW10" s="14">
        <f>ROUND(AU10*$M$4,2)</f>
        <v>386.73</v>
      </c>
      <c r="AX10" s="14">
        <f>ROUND((AU10+BA10)*$K$5,2)</f>
        <v>257.82</v>
      </c>
      <c r="AY10" s="14">
        <f t="shared" si="10"/>
        <v>38.67</v>
      </c>
      <c r="AZ10" s="14">
        <f>ROUND((AU10+AX10+BA10)*$L$5,2)</f>
        <v>311.95999999999998</v>
      </c>
      <c r="BA10" s="14">
        <f>ROUND(AU10*J5,2)</f>
        <v>0</v>
      </c>
    </row>
    <row r="11" spans="1:54" x14ac:dyDescent="0.25">
      <c r="A11" s="8" t="s">
        <v>14</v>
      </c>
      <c r="B11" s="13">
        <f>B8</f>
        <v>44701</v>
      </c>
      <c r="C11" s="13">
        <f>C8</f>
        <v>45102</v>
      </c>
      <c r="D11" s="9">
        <v>44866</v>
      </c>
      <c r="E11" s="32">
        <v>1228.2163915094341</v>
      </c>
      <c r="F11" s="31">
        <f t="shared" si="11"/>
        <v>1349.3555424528302</v>
      </c>
      <c r="G11" s="32">
        <v>455</v>
      </c>
      <c r="H11" s="31">
        <f t="shared" si="12"/>
        <v>499.88</v>
      </c>
      <c r="I11" s="10">
        <v>90</v>
      </c>
      <c r="J11" s="11">
        <f>C11-B11</f>
        <v>401</v>
      </c>
      <c r="K11" s="11">
        <f>D11-D10</f>
        <v>200</v>
      </c>
      <c r="L11" s="11">
        <f t="shared" si="13"/>
        <v>236</v>
      </c>
      <c r="M11" s="12">
        <f t="shared" si="14"/>
        <v>1011.7799941904163</v>
      </c>
      <c r="N11" s="12">
        <f t="shared" si="15"/>
        <v>794.13443396226421</v>
      </c>
      <c r="O11" s="12">
        <f t="shared" si="5"/>
        <v>1204.4999930838301</v>
      </c>
      <c r="P11" s="12">
        <f t="shared" si="16"/>
        <v>294.19178082191786</v>
      </c>
      <c r="Q11" s="14">
        <f>SUM(M9:M11)+N11</f>
        <v>1765.899897891851</v>
      </c>
      <c r="R11" s="14">
        <f>ROUND(SUM(O9:O11)+P11,2)</f>
        <v>1451.06</v>
      </c>
      <c r="S11" s="33">
        <f t="shared" ref="S11:S14" si="22">G11/365*J11</f>
        <v>499.87671232876716</v>
      </c>
      <c r="T11" s="14">
        <f>ROUND(T10-(G10/365*L11)+P11,2)</f>
        <v>1451.05</v>
      </c>
      <c r="U11" s="14">
        <f t="shared" si="6"/>
        <v>-1127.1100000000001</v>
      </c>
      <c r="V11" s="12">
        <f t="shared" si="7"/>
        <v>555.55999999999995</v>
      </c>
      <c r="W11" s="3">
        <f t="shared" si="1"/>
        <v>1771.75</v>
      </c>
      <c r="X11" s="3">
        <f t="shared" ref="X11:X14" si="23">W11-W10</f>
        <v>-1376.2000000000003</v>
      </c>
      <c r="Y11" s="3">
        <f>W11+(I11*K5)+I11</f>
        <v>1870.75</v>
      </c>
      <c r="Z11" s="3">
        <f>Y11-Y10</f>
        <v>-1376.2000000000003</v>
      </c>
      <c r="AA11" s="17"/>
      <c r="AB11" s="14">
        <f t="shared" si="8"/>
        <v>0</v>
      </c>
      <c r="AC11" s="14">
        <f t="shared" si="9"/>
        <v>0</v>
      </c>
      <c r="AD11" s="14">
        <f t="shared" si="17"/>
        <v>-399.76595918242742</v>
      </c>
      <c r="AE11" s="12">
        <f>U11</f>
        <v>-1127.1100000000001</v>
      </c>
      <c r="AF11" s="12">
        <f>X11</f>
        <v>-1376.2000000000003</v>
      </c>
      <c r="AG11" s="14">
        <f t="shared" si="19"/>
        <v>-169.07000000000002</v>
      </c>
      <c r="AH11" s="30">
        <f t="shared" si="19"/>
        <v>-112.70999999999998</v>
      </c>
      <c r="AI11" s="30">
        <f t="shared" si="19"/>
        <v>-16.900000000000002</v>
      </c>
      <c r="AJ11" s="14">
        <f t="shared" si="19"/>
        <v>-136.37999999999997</v>
      </c>
      <c r="AK11" s="14">
        <f t="shared" si="19"/>
        <v>0</v>
      </c>
      <c r="AL11" s="14">
        <f t="shared" si="2"/>
        <v>1228.2163915094341</v>
      </c>
      <c r="AM11" s="14">
        <f t="shared" si="3"/>
        <v>455</v>
      </c>
      <c r="AN11" s="14">
        <f t="shared" si="20"/>
        <v>555.55999999999995</v>
      </c>
      <c r="AO11" s="14">
        <f>ROUND(AM11*M4,2)</f>
        <v>68.25</v>
      </c>
      <c r="AP11" s="14">
        <f>ROUND((AM11+AS11)*K5,2)</f>
        <v>45.5</v>
      </c>
      <c r="AQ11" s="14">
        <f>ROUND(AO11*K5,2)</f>
        <v>6.83</v>
      </c>
      <c r="AR11" s="14">
        <f>ROUND((AM11+AP11+AS11)*L5,2)</f>
        <v>55.06</v>
      </c>
      <c r="AS11" s="14">
        <f>ROUND(AM11*J5,2)</f>
        <v>0</v>
      </c>
      <c r="AT11" s="14">
        <f t="shared" si="4"/>
        <v>1765.899897891851</v>
      </c>
      <c r="AU11" s="14">
        <f t="shared" si="4"/>
        <v>1451.06</v>
      </c>
      <c r="AV11" s="14">
        <f t="shared" si="21"/>
        <v>1771.75</v>
      </c>
      <c r="AW11" s="14">
        <f t="shared" ref="AW11:AW14" si="24">ROUND(AU11*$M$4,2)</f>
        <v>217.66</v>
      </c>
      <c r="AX11" s="14">
        <f t="shared" ref="AX11:AX14" si="25">ROUND((AU11+BA11)*$K$5,2)</f>
        <v>145.11000000000001</v>
      </c>
      <c r="AY11" s="14">
        <f t="shared" si="10"/>
        <v>21.77</v>
      </c>
      <c r="AZ11" s="14">
        <f t="shared" ref="AZ11:AZ14" si="26">ROUND((AU11+AX11+BA11)*$L$5,2)</f>
        <v>175.58</v>
      </c>
      <c r="BA11" s="14">
        <f>ROUND(AU11*J5,2)</f>
        <v>0</v>
      </c>
    </row>
    <row r="12" spans="1:54" x14ac:dyDescent="0.25">
      <c r="A12" s="8" t="s">
        <v>16</v>
      </c>
      <c r="B12" s="13">
        <f>B8</f>
        <v>44701</v>
      </c>
      <c r="C12" s="13">
        <f>C8</f>
        <v>45102</v>
      </c>
      <c r="D12" s="9">
        <v>44769</v>
      </c>
      <c r="E12" s="32">
        <v>1096.9713443396226</v>
      </c>
      <c r="F12" s="31">
        <f t="shared" si="11"/>
        <v>1205.1657783018868</v>
      </c>
      <c r="G12" s="32">
        <v>1443.5577830188681</v>
      </c>
      <c r="H12" s="31">
        <f t="shared" si="12"/>
        <v>1585.94</v>
      </c>
      <c r="I12" s="10">
        <v>90</v>
      </c>
      <c r="J12" s="11">
        <f>C12-B12</f>
        <v>401</v>
      </c>
      <c r="K12" s="11">
        <f t="shared" ref="K12:K14" si="27">D12-D11</f>
        <v>-97</v>
      </c>
      <c r="L12" s="11">
        <f t="shared" si="13"/>
        <v>333</v>
      </c>
      <c r="M12" s="12">
        <f t="shared" si="14"/>
        <v>-326.40271226415098</v>
      </c>
      <c r="N12" s="12">
        <f t="shared" si="15"/>
        <v>1000.7985141509433</v>
      </c>
      <c r="O12" s="12">
        <f t="shared" si="5"/>
        <v>-120.91780821917808</v>
      </c>
      <c r="P12" s="12">
        <f t="shared" si="16"/>
        <v>1316.9992924528303</v>
      </c>
      <c r="Q12" s="14">
        <f>SUM(M9:M12)+N12</f>
        <v>1646.161265816379</v>
      </c>
      <c r="R12" s="14">
        <f>ROUND(SUM(O9:O12)+P12,2)</f>
        <v>2352.9499999999998</v>
      </c>
      <c r="S12" s="33">
        <f t="shared" si="22"/>
        <v>1585.9360849056604</v>
      </c>
      <c r="T12" s="14">
        <f>ROUND(T11-(G11/365*L12)+P12,2)</f>
        <v>2352.94</v>
      </c>
      <c r="U12" s="14">
        <f t="shared" si="6"/>
        <v>901.88999999999987</v>
      </c>
      <c r="V12" s="12">
        <f t="shared" si="7"/>
        <v>1762.5877830188683</v>
      </c>
      <c r="W12" s="3">
        <f t="shared" si="1"/>
        <v>2872.96</v>
      </c>
      <c r="X12" s="3">
        <f t="shared" si="23"/>
        <v>1101.21</v>
      </c>
      <c r="Y12" s="3">
        <f>W12+(I12*K5)+I12</f>
        <v>2971.96</v>
      </c>
      <c r="Z12" s="3">
        <f t="shared" ref="Z12:Z14" si="28">Y12-Y11</f>
        <v>1101.21</v>
      </c>
      <c r="AA12" s="17"/>
      <c r="AB12" s="14">
        <f t="shared" si="8"/>
        <v>0</v>
      </c>
      <c r="AC12" s="14">
        <f t="shared" si="9"/>
        <v>0</v>
      </c>
      <c r="AD12" s="14">
        <f t="shared" si="17"/>
        <v>-119.73863207547197</v>
      </c>
      <c r="AE12" s="12">
        <f t="shared" ref="AE12:AE14" si="29">U12</f>
        <v>901.88999999999987</v>
      </c>
      <c r="AF12" s="12">
        <f t="shared" si="18"/>
        <v>1101.21</v>
      </c>
      <c r="AG12" s="14">
        <f t="shared" si="19"/>
        <v>135.28</v>
      </c>
      <c r="AH12" s="30">
        <f t="shared" si="19"/>
        <v>90.19</v>
      </c>
      <c r="AI12" s="30">
        <f t="shared" si="19"/>
        <v>13.52</v>
      </c>
      <c r="AJ12" s="14">
        <f t="shared" si="19"/>
        <v>109.12999999999997</v>
      </c>
      <c r="AK12" s="14">
        <f t="shared" si="19"/>
        <v>0</v>
      </c>
      <c r="AL12" s="14">
        <f t="shared" si="2"/>
        <v>1096.9713443396226</v>
      </c>
      <c r="AM12" s="14">
        <f t="shared" si="3"/>
        <v>1443.5577830188681</v>
      </c>
      <c r="AN12" s="14">
        <f t="shared" si="20"/>
        <v>1762.5877830188683</v>
      </c>
      <c r="AO12" s="14">
        <f>ROUND(AM12*M4,2)</f>
        <v>216.53</v>
      </c>
      <c r="AP12" s="14">
        <f>ROUND((AM12+AS12)*K5,2)</f>
        <v>144.36000000000001</v>
      </c>
      <c r="AQ12" s="14">
        <f>ROUND(AO12*K5,2)</f>
        <v>21.65</v>
      </c>
      <c r="AR12" s="14">
        <f>ROUND((AM12+AP12+AS12)*L5,2)</f>
        <v>174.67</v>
      </c>
      <c r="AS12" s="14">
        <f>ROUND(AM12*J5,2)</f>
        <v>0</v>
      </c>
      <c r="AT12" s="14">
        <f t="shared" si="4"/>
        <v>1646.161265816379</v>
      </c>
      <c r="AU12" s="14">
        <f t="shared" si="4"/>
        <v>2352.9499999999998</v>
      </c>
      <c r="AV12" s="14">
        <f t="shared" si="21"/>
        <v>2872.96</v>
      </c>
      <c r="AW12" s="14">
        <f t="shared" si="24"/>
        <v>352.94</v>
      </c>
      <c r="AX12" s="14">
        <f t="shared" si="25"/>
        <v>235.3</v>
      </c>
      <c r="AY12" s="14">
        <f t="shared" si="10"/>
        <v>35.29</v>
      </c>
      <c r="AZ12" s="14">
        <f t="shared" si="26"/>
        <v>284.70999999999998</v>
      </c>
      <c r="BA12" s="14">
        <f>ROUND(AU12*J5,2)</f>
        <v>0</v>
      </c>
    </row>
    <row r="13" spans="1:54" x14ac:dyDescent="0.25">
      <c r="A13" s="8" t="s">
        <v>17</v>
      </c>
      <c r="B13" s="13">
        <f>B8</f>
        <v>44701</v>
      </c>
      <c r="C13" s="13">
        <f>C8</f>
        <v>45102</v>
      </c>
      <c r="D13" s="9">
        <v>44804</v>
      </c>
      <c r="E13" s="32">
        <v>1300.9899</v>
      </c>
      <c r="F13" s="31">
        <f t="shared" si="11"/>
        <v>1429.3067120547946</v>
      </c>
      <c r="G13" s="32">
        <v>1602.4705188679245</v>
      </c>
      <c r="H13" s="31">
        <f t="shared" si="12"/>
        <v>1760.52</v>
      </c>
      <c r="I13" s="10">
        <v>90</v>
      </c>
      <c r="J13" s="11">
        <f t="shared" ref="J13:J14" si="30">C13-B13</f>
        <v>401</v>
      </c>
      <c r="K13" s="11">
        <f t="shared" si="27"/>
        <v>35</v>
      </c>
      <c r="L13" s="11">
        <f t="shared" si="13"/>
        <v>298</v>
      </c>
      <c r="M13" s="12">
        <f t="shared" si="14"/>
        <v>105.18903301886792</v>
      </c>
      <c r="N13" s="12">
        <f t="shared" si="15"/>
        <v>1062.1780553424658</v>
      </c>
      <c r="O13" s="12">
        <f t="shared" si="5"/>
        <v>138.4233490566038</v>
      </c>
      <c r="P13" s="12">
        <f t="shared" si="16"/>
        <v>1308.318396226415</v>
      </c>
      <c r="Q13" s="14">
        <f>SUM(M9:M13)+N13</f>
        <v>1812.7298400267696</v>
      </c>
      <c r="R13" s="14">
        <f>ROUND(SUM(O9:O13)+P13,2)</f>
        <v>2482.69</v>
      </c>
      <c r="S13" s="33">
        <f t="shared" si="22"/>
        <v>1760.5224056603772</v>
      </c>
      <c r="T13" s="14">
        <f>ROUND(T12-(G12/365*L13)+P13,2)</f>
        <v>2482.6799999999998</v>
      </c>
      <c r="U13" s="14">
        <f t="shared" si="6"/>
        <v>129.74000000000024</v>
      </c>
      <c r="V13" s="12">
        <f t="shared" si="7"/>
        <v>1956.6205188679246</v>
      </c>
      <c r="W13" s="3">
        <f t="shared" si="1"/>
        <v>3031.37</v>
      </c>
      <c r="X13" s="3">
        <f t="shared" si="23"/>
        <v>158.40999999999985</v>
      </c>
      <c r="Y13" s="3">
        <f>W13+(I13*K5)+I13</f>
        <v>3130.37</v>
      </c>
      <c r="Z13" s="3">
        <f t="shared" si="28"/>
        <v>158.40999999999985</v>
      </c>
      <c r="AA13" s="17"/>
      <c r="AB13" s="14">
        <f t="shared" si="8"/>
        <v>0</v>
      </c>
      <c r="AC13" s="14">
        <f t="shared" si="9"/>
        <v>0</v>
      </c>
      <c r="AD13" s="14">
        <f t="shared" si="17"/>
        <v>166.56857421039058</v>
      </c>
      <c r="AE13" s="12">
        <f t="shared" si="29"/>
        <v>129.74000000000024</v>
      </c>
      <c r="AF13" s="12">
        <f t="shared" si="18"/>
        <v>158.40999999999985</v>
      </c>
      <c r="AG13" s="14">
        <f t="shared" si="19"/>
        <v>19.45999999999998</v>
      </c>
      <c r="AH13" s="30">
        <f t="shared" si="19"/>
        <v>12.969999999999999</v>
      </c>
      <c r="AI13" s="30">
        <f t="shared" si="19"/>
        <v>1.9500000000000028</v>
      </c>
      <c r="AJ13" s="14">
        <f t="shared" si="19"/>
        <v>15.700000000000045</v>
      </c>
      <c r="AK13" s="14">
        <f t="shared" si="19"/>
        <v>0</v>
      </c>
      <c r="AL13" s="14">
        <f t="shared" si="2"/>
        <v>1300.9899</v>
      </c>
      <c r="AM13" s="14">
        <f t="shared" si="3"/>
        <v>1602.4705188679245</v>
      </c>
      <c r="AN13" s="14">
        <f t="shared" si="20"/>
        <v>1956.6205188679246</v>
      </c>
      <c r="AO13" s="14">
        <f>ROUND(AM13*M4,2)</f>
        <v>240.37</v>
      </c>
      <c r="AP13" s="14">
        <f>ROUND((AM13+AS13)*K5,2)</f>
        <v>160.25</v>
      </c>
      <c r="AQ13" s="14">
        <f>ROUND(AO13*K5,2)</f>
        <v>24.04</v>
      </c>
      <c r="AR13" s="14">
        <f>ROUND((AM13+AP13+AS13)*L5,2)</f>
        <v>193.9</v>
      </c>
      <c r="AS13" s="14">
        <f>ROUND(AM13*J5,2)</f>
        <v>0</v>
      </c>
      <c r="AT13" s="14">
        <f t="shared" si="4"/>
        <v>1812.7298400267696</v>
      </c>
      <c r="AU13" s="14">
        <f t="shared" si="4"/>
        <v>2482.69</v>
      </c>
      <c r="AV13" s="14">
        <f t="shared" si="21"/>
        <v>3031.37</v>
      </c>
      <c r="AW13" s="14">
        <f t="shared" si="24"/>
        <v>372.4</v>
      </c>
      <c r="AX13" s="14">
        <f t="shared" si="25"/>
        <v>248.27</v>
      </c>
      <c r="AY13" s="14">
        <f t="shared" si="10"/>
        <v>37.24</v>
      </c>
      <c r="AZ13" s="14">
        <f t="shared" si="26"/>
        <v>300.41000000000003</v>
      </c>
      <c r="BA13" s="14">
        <f>ROUND(AU13*J5,2)</f>
        <v>0</v>
      </c>
    </row>
    <row r="14" spans="1:54" x14ac:dyDescent="0.25">
      <c r="A14" s="8" t="s">
        <v>15</v>
      </c>
      <c r="B14" s="13">
        <f>B8</f>
        <v>44701</v>
      </c>
      <c r="C14" s="13">
        <f>C8</f>
        <v>45102</v>
      </c>
      <c r="D14" s="9">
        <v>44824</v>
      </c>
      <c r="E14" s="32">
        <v>1378.95777</v>
      </c>
      <c r="F14" s="31">
        <f t="shared" si="11"/>
        <v>1514.9645637534247</v>
      </c>
      <c r="G14" s="32">
        <v>1715.6979952830191</v>
      </c>
      <c r="H14" s="31">
        <f t="shared" si="12"/>
        <v>1884.92</v>
      </c>
      <c r="I14" s="10">
        <v>90</v>
      </c>
      <c r="J14" s="11">
        <f t="shared" si="30"/>
        <v>401</v>
      </c>
      <c r="K14" s="11">
        <f t="shared" si="27"/>
        <v>20</v>
      </c>
      <c r="L14" s="11">
        <f t="shared" si="13"/>
        <v>278</v>
      </c>
      <c r="M14" s="12">
        <f t="shared" si="14"/>
        <v>71.287117808219179</v>
      </c>
      <c r="N14" s="12">
        <f t="shared" si="15"/>
        <v>1050.2746850958904</v>
      </c>
      <c r="O14" s="12">
        <f t="shared" si="5"/>
        <v>87.806603773584897</v>
      </c>
      <c r="P14" s="12">
        <f t="shared" si="16"/>
        <v>1306.7508018867925</v>
      </c>
      <c r="Q14" s="14">
        <f>SUM(M9:M14)+N14</f>
        <v>1872.1135875884133</v>
      </c>
      <c r="R14" s="14">
        <f>ROUND(SUM(O9:O14)+P14,2)</f>
        <v>2568.9299999999998</v>
      </c>
      <c r="S14" s="33">
        <f t="shared" si="22"/>
        <v>1884.9175235849057</v>
      </c>
      <c r="T14" s="14">
        <f>ROUND(T13-(G13/365*L14)+P14,2)</f>
        <v>2568.92</v>
      </c>
      <c r="U14" s="14">
        <f t="shared" si="6"/>
        <v>86.239999999999782</v>
      </c>
      <c r="V14" s="12">
        <f t="shared" si="7"/>
        <v>2094.8679952830189</v>
      </c>
      <c r="W14" s="3">
        <f>AU14+AX14+AZ14+BA14</f>
        <v>3136.66</v>
      </c>
      <c r="X14" s="3">
        <f t="shared" si="23"/>
        <v>105.28999999999996</v>
      </c>
      <c r="Y14" s="3">
        <f>W14+(I14*K5)+I14</f>
        <v>3235.66</v>
      </c>
      <c r="Z14" s="3">
        <f t="shared" si="28"/>
        <v>105.28999999999996</v>
      </c>
      <c r="AA14" s="17"/>
      <c r="AB14" s="14">
        <f t="shared" si="8"/>
        <v>0</v>
      </c>
      <c r="AC14" s="14">
        <f t="shared" si="9"/>
        <v>0</v>
      </c>
      <c r="AD14" s="14">
        <f t="shared" si="17"/>
        <v>59.383747561643759</v>
      </c>
      <c r="AE14" s="12">
        <f t="shared" si="29"/>
        <v>86.239999999999782</v>
      </c>
      <c r="AF14" s="12">
        <f>X14</f>
        <v>105.28999999999996</v>
      </c>
      <c r="AG14" s="14">
        <f>AW14-AW13</f>
        <v>12.939999999999998</v>
      </c>
      <c r="AH14" s="30">
        <f t="shared" si="19"/>
        <v>8.6199999999999761</v>
      </c>
      <c r="AI14" s="30">
        <f t="shared" si="19"/>
        <v>1.2899999999999991</v>
      </c>
      <c r="AJ14" s="14">
        <f t="shared" si="19"/>
        <v>10.42999999999995</v>
      </c>
      <c r="AK14" s="14">
        <f t="shared" si="19"/>
        <v>0</v>
      </c>
      <c r="AL14" s="14">
        <f t="shared" si="2"/>
        <v>1378.95777</v>
      </c>
      <c r="AM14" s="14">
        <f t="shared" si="3"/>
        <v>1715.6979952830191</v>
      </c>
      <c r="AN14" s="14">
        <f t="shared" si="20"/>
        <v>2094.8679952830189</v>
      </c>
      <c r="AO14" s="14">
        <f>ROUND(AM14*M4,2)</f>
        <v>257.35000000000002</v>
      </c>
      <c r="AP14" s="14">
        <f>ROUND((AM14+AS14)*K5,2)</f>
        <v>171.57</v>
      </c>
      <c r="AQ14" s="14">
        <f>ROUND(AO14*K5,2)</f>
        <v>25.74</v>
      </c>
      <c r="AR14" s="14">
        <f>ROUND((AM14+AP14+AS14)*L5,2)</f>
        <v>207.6</v>
      </c>
      <c r="AS14" s="14">
        <f>ROUND(AM14*J5,2)</f>
        <v>0</v>
      </c>
      <c r="AT14" s="14">
        <f t="shared" si="4"/>
        <v>1872.1135875884133</v>
      </c>
      <c r="AU14" s="14">
        <f t="shared" si="4"/>
        <v>2568.9299999999998</v>
      </c>
      <c r="AV14" s="14">
        <f t="shared" si="21"/>
        <v>3136.66</v>
      </c>
      <c r="AW14" s="14">
        <f t="shared" si="24"/>
        <v>385.34</v>
      </c>
      <c r="AX14" s="14">
        <f t="shared" si="25"/>
        <v>256.89</v>
      </c>
      <c r="AY14" s="14">
        <f t="shared" si="10"/>
        <v>38.53</v>
      </c>
      <c r="AZ14" s="14">
        <f t="shared" si="26"/>
        <v>310.83999999999997</v>
      </c>
      <c r="BA14" s="14">
        <f>ROUND(AU14*J5,2)</f>
        <v>0</v>
      </c>
    </row>
    <row r="15" spans="1:54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0"/>
      <c r="K15" s="20"/>
      <c r="L15" s="20"/>
      <c r="M15" s="21"/>
      <c r="N15" s="21"/>
      <c r="O15" s="21"/>
      <c r="P15" s="21"/>
      <c r="Q15" s="22"/>
      <c r="R15" s="22"/>
      <c r="S15" s="22"/>
      <c r="T15" s="22"/>
      <c r="U15" s="22"/>
      <c r="V15" s="21"/>
      <c r="W15" s="23"/>
      <c r="X15" s="23"/>
      <c r="Y15" s="23"/>
      <c r="Z15" s="23"/>
      <c r="AD15" s="22"/>
      <c r="AE15" s="21"/>
      <c r="AF15" s="21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</row>
    <row r="17" spans="1:53" x14ac:dyDescent="0.25">
      <c r="A17" s="28" t="s">
        <v>59</v>
      </c>
      <c r="B17" s="26">
        <f>B8</f>
        <v>44701</v>
      </c>
      <c r="C17" s="26">
        <f>C8</f>
        <v>45102</v>
      </c>
      <c r="D17" s="9">
        <v>44676</v>
      </c>
      <c r="E17" s="9"/>
      <c r="F17" s="27"/>
      <c r="G17" s="27"/>
      <c r="H17" s="16"/>
      <c r="I17" s="16"/>
      <c r="J17" s="11">
        <f>C17-B17</f>
        <v>401</v>
      </c>
      <c r="K17" s="11">
        <f t="shared" ref="K17:K23" si="31">D17-D8</f>
        <v>-25</v>
      </c>
      <c r="L17" s="11">
        <f>C17-D17</f>
        <v>426</v>
      </c>
      <c r="M17" s="12">
        <f>F8/J17*K17</f>
        <v>-26.05042158514226</v>
      </c>
      <c r="N17" s="12">
        <f t="shared" ref="N17:N22" si="32">F8/J17*L17</f>
        <v>443.89918381082407</v>
      </c>
      <c r="O17" s="12">
        <f>H8/J17*K17</f>
        <v>-31.012468827930174</v>
      </c>
      <c r="P17" s="12">
        <f t="shared" ref="P17:P23" si="33">H8/J17*L17</f>
        <v>528.45246882793015</v>
      </c>
      <c r="Q17" s="14">
        <f>M17</f>
        <v>-26.05042158514226</v>
      </c>
      <c r="R17" s="14">
        <f>ROUND(O17,2)</f>
        <v>-31.01</v>
      </c>
      <c r="S17" s="14"/>
      <c r="T17" s="14"/>
      <c r="U17" s="14">
        <f t="shared" ref="U17:U23" si="34">R17-R8</f>
        <v>-528.45000000000005</v>
      </c>
      <c r="V17" s="12"/>
      <c r="W17" s="14">
        <f>AU17+AX17+AZ17+BA17</f>
        <v>-37.86</v>
      </c>
      <c r="X17" s="3">
        <f>W17-W8</f>
        <v>-645.2299999999999</v>
      </c>
      <c r="Y17" s="3">
        <f t="shared" ref="Y17:Y23" si="35">W17+I8 +($K$5*I8)</f>
        <v>61.140000000000008</v>
      </c>
      <c r="Z17" s="3"/>
      <c r="AA17" s="16"/>
      <c r="AB17" s="16"/>
      <c r="AC17" s="16"/>
      <c r="AD17" s="12">
        <f t="shared" ref="AD17:AD23" si="36">Q17-Q8</f>
        <v>-443.89918381082407</v>
      </c>
      <c r="AE17" s="3">
        <f>U17</f>
        <v>-528.45000000000005</v>
      </c>
      <c r="AF17" s="3">
        <f>X17</f>
        <v>-645.2299999999999</v>
      </c>
      <c r="AG17" s="3">
        <f>AW17-AW8</f>
        <v>-79.27000000000001</v>
      </c>
      <c r="AH17" s="3">
        <f>AX17-AX8</f>
        <v>-52.84</v>
      </c>
      <c r="AI17" s="3">
        <f>AY17-AY8</f>
        <v>-7.93</v>
      </c>
      <c r="AJ17" s="3">
        <f>AZ17-AZ8</f>
        <v>-63.94</v>
      </c>
      <c r="AK17" s="3">
        <f>BA17-BA8</f>
        <v>0</v>
      </c>
      <c r="AL17" s="16"/>
      <c r="AM17" s="16"/>
      <c r="AN17" s="16"/>
      <c r="AO17" s="16"/>
      <c r="AP17" s="16"/>
      <c r="AQ17" s="16"/>
      <c r="AR17" s="16"/>
      <c r="AS17" s="16"/>
      <c r="AT17" s="14">
        <f t="shared" ref="AT17:AU23" si="37">Q17</f>
        <v>-26.05042158514226</v>
      </c>
      <c r="AU17" s="12">
        <f t="shared" si="37"/>
        <v>-31.01</v>
      </c>
      <c r="AV17" s="14">
        <f>W17</f>
        <v>-37.86</v>
      </c>
      <c r="AW17" s="14">
        <f>ROUND(AU17*$M$4,2)</f>
        <v>-4.6500000000000004</v>
      </c>
      <c r="AX17" s="24">
        <f>ROUND((AU17+BA17)*$K$5,2)</f>
        <v>-3.1</v>
      </c>
      <c r="AY17" s="14">
        <f>ROUND(AW17*$K$5,2)</f>
        <v>-0.47</v>
      </c>
      <c r="AZ17" s="24">
        <f>ROUND((AU17+AX17+BA17)*$L$5,2)</f>
        <v>-3.75</v>
      </c>
      <c r="BA17" s="14">
        <f>ROUND(AU17*$J$5,2)</f>
        <v>0</v>
      </c>
    </row>
    <row r="18" spans="1:53" x14ac:dyDescent="0.25">
      <c r="A18" s="19" t="s">
        <v>53</v>
      </c>
      <c r="B18" s="26">
        <f>B8</f>
        <v>44701</v>
      </c>
      <c r="C18" s="26">
        <f>C8</f>
        <v>45102</v>
      </c>
      <c r="D18" s="9">
        <v>44712</v>
      </c>
      <c r="E18" s="9"/>
      <c r="F18" s="12"/>
      <c r="G18" s="12"/>
      <c r="H18" s="12"/>
      <c r="I18" s="12"/>
      <c r="J18" s="11">
        <f>C18-B18</f>
        <v>401</v>
      </c>
      <c r="K18" s="11">
        <f t="shared" si="31"/>
        <v>3</v>
      </c>
      <c r="L18" s="11">
        <f>C18-D18</f>
        <v>390</v>
      </c>
      <c r="M18" s="12">
        <f t="shared" ref="M18:M22" si="38">F9/J18*K18</f>
        <v>3.3733022210284931</v>
      </c>
      <c r="N18" s="12">
        <f t="shared" si="32"/>
        <v>438.52928873370411</v>
      </c>
      <c r="O18" s="12">
        <f t="shared" ref="O18:O23" si="39">H9/J18*K18</f>
        <v>4.0158104738154607</v>
      </c>
      <c r="P18" s="12">
        <f t="shared" si="33"/>
        <v>522.0553615960099</v>
      </c>
      <c r="Q18" s="14">
        <f>M9+M18</f>
        <v>11.709437128274015</v>
      </c>
      <c r="R18" s="14">
        <f>ROUND(O9+O18,2)</f>
        <v>13.94</v>
      </c>
      <c r="S18" s="14"/>
      <c r="T18" s="14"/>
      <c r="U18" s="14">
        <f t="shared" si="34"/>
        <v>-522.05999999999995</v>
      </c>
      <c r="V18" s="12"/>
      <c r="W18" s="14">
        <f t="shared" ref="W18:W23" si="40">AU18+AX18+AZ18+BA18</f>
        <v>17.02</v>
      </c>
      <c r="X18" s="3">
        <f>W18-W9</f>
        <v>-637.44000000000005</v>
      </c>
      <c r="Y18" s="3">
        <f t="shared" si="35"/>
        <v>116.02000000000001</v>
      </c>
      <c r="Z18" s="3"/>
      <c r="AA18" s="17"/>
      <c r="AB18" s="17"/>
      <c r="AC18" s="17"/>
      <c r="AD18" s="12">
        <f t="shared" si="36"/>
        <v>-438.52928873370411</v>
      </c>
      <c r="AE18" s="3">
        <f>U18</f>
        <v>-522.05999999999995</v>
      </c>
      <c r="AF18" s="3">
        <f>X18</f>
        <v>-637.44000000000005</v>
      </c>
      <c r="AG18" s="3">
        <f>AW18-AW9</f>
        <v>-78.31</v>
      </c>
      <c r="AH18" s="3">
        <f>AX18-AX9</f>
        <v>-52.21</v>
      </c>
      <c r="AI18" s="3">
        <f t="shared" ref="AI18:AK23" si="41">AY18-AY9</f>
        <v>-7.8299999999999992</v>
      </c>
      <c r="AJ18" s="3">
        <f t="shared" si="41"/>
        <v>-63.17</v>
      </c>
      <c r="AK18" s="3">
        <f t="shared" si="41"/>
        <v>0</v>
      </c>
      <c r="AL18" s="14"/>
      <c r="AM18" s="14"/>
      <c r="AN18" s="14"/>
      <c r="AO18" s="14"/>
      <c r="AP18" s="14"/>
      <c r="AQ18" s="14"/>
      <c r="AR18" s="14"/>
      <c r="AS18" s="14"/>
      <c r="AT18" s="14">
        <f t="shared" si="37"/>
        <v>11.709437128274015</v>
      </c>
      <c r="AU18" s="12">
        <f t="shared" si="37"/>
        <v>13.94</v>
      </c>
      <c r="AV18" s="14">
        <f>W18</f>
        <v>17.02</v>
      </c>
      <c r="AW18" s="14">
        <f t="shared" ref="AW18:AW23" si="42">ROUND(AU18*$M$4,2)</f>
        <v>2.09</v>
      </c>
      <c r="AX18" s="24">
        <f t="shared" ref="AX18:AX23" si="43">ROUND((AU18+BA18)*$K$5,2)</f>
        <v>1.39</v>
      </c>
      <c r="AY18" s="14">
        <f t="shared" ref="AY18:AY23" si="44">ROUND(AW18*$K$5,2)</f>
        <v>0.21</v>
      </c>
      <c r="AZ18" s="24">
        <f t="shared" ref="AZ18:AZ23" si="45">ROUND((AU18+AX18+BA18)*$L$5,2)</f>
        <v>1.69</v>
      </c>
      <c r="BA18" s="14">
        <f t="shared" ref="BA18:BA23" si="46">ROUND(AU18*$J$5,2)</f>
        <v>0</v>
      </c>
    </row>
    <row r="19" spans="1:53" x14ac:dyDescent="0.25">
      <c r="A19" s="19" t="s">
        <v>52</v>
      </c>
      <c r="B19" s="26">
        <f>B8</f>
        <v>44701</v>
      </c>
      <c r="C19" s="26">
        <f>C8</f>
        <v>45102</v>
      </c>
      <c r="D19" s="9">
        <v>44854</v>
      </c>
      <c r="E19" s="9"/>
      <c r="F19" s="16"/>
      <c r="G19" s="16"/>
      <c r="H19" s="16"/>
      <c r="I19" s="16"/>
      <c r="J19" s="11">
        <f t="shared" ref="J19:J23" si="47">C19-B19</f>
        <v>401</v>
      </c>
      <c r="K19" s="11">
        <f t="shared" si="31"/>
        <v>188</v>
      </c>
      <c r="L19" s="11">
        <f>C19-D19</f>
        <v>248</v>
      </c>
      <c r="M19" s="12">
        <f t="shared" si="38"/>
        <v>951.0731945389914</v>
      </c>
      <c r="N19" s="12">
        <f t="shared" si="32"/>
        <v>1254.6071927961164</v>
      </c>
      <c r="O19" s="12">
        <f t="shared" si="39"/>
        <v>1132.2288279301745</v>
      </c>
      <c r="P19" s="12">
        <f t="shared" si="33"/>
        <v>1493.5784538653365</v>
      </c>
      <c r="Q19" s="14">
        <f>M9+M10+M19</f>
        <v>911.05866427816181</v>
      </c>
      <c r="R19" s="14">
        <f>ROUND(O9+O10+O19,2)</f>
        <v>1084.5899999999999</v>
      </c>
      <c r="S19" s="14"/>
      <c r="T19" s="14"/>
      <c r="U19" s="14">
        <f t="shared" si="34"/>
        <v>-1493.5800000000002</v>
      </c>
      <c r="V19" s="12"/>
      <c r="W19" s="14">
        <f t="shared" si="40"/>
        <v>1324.29</v>
      </c>
      <c r="X19" s="3">
        <f>W19-W10</f>
        <v>-1823.6600000000003</v>
      </c>
      <c r="Y19" s="3">
        <f t="shared" si="35"/>
        <v>1423.29</v>
      </c>
      <c r="Z19" s="3"/>
      <c r="AA19" s="17"/>
      <c r="AB19" s="17"/>
      <c r="AC19" s="17"/>
      <c r="AD19" s="12">
        <f t="shared" si="36"/>
        <v>-1254.6071927961166</v>
      </c>
      <c r="AE19" s="3">
        <f>U19</f>
        <v>-1493.5800000000002</v>
      </c>
      <c r="AF19" s="3">
        <f t="shared" ref="AF19:AF23" si="48">X19</f>
        <v>-1823.6600000000003</v>
      </c>
      <c r="AG19" s="3">
        <f t="shared" ref="AG19:AG23" si="49">AW19-AW10</f>
        <v>-224.04000000000002</v>
      </c>
      <c r="AH19" s="3">
        <f>AX19-AX10</f>
        <v>-149.36000000000001</v>
      </c>
      <c r="AI19" s="3">
        <f t="shared" si="41"/>
        <v>-22.400000000000002</v>
      </c>
      <c r="AJ19" s="3">
        <f t="shared" si="41"/>
        <v>-180.71999999999997</v>
      </c>
      <c r="AK19" s="3">
        <f t="shared" si="41"/>
        <v>0</v>
      </c>
      <c r="AL19" s="12"/>
      <c r="AM19" s="12"/>
      <c r="AN19" s="12"/>
      <c r="AO19" s="12"/>
      <c r="AP19" s="12"/>
      <c r="AQ19" s="12"/>
      <c r="AR19" s="12"/>
      <c r="AS19" s="12"/>
      <c r="AT19" s="14">
        <f t="shared" si="37"/>
        <v>911.05866427816181</v>
      </c>
      <c r="AU19" s="12">
        <f t="shared" si="37"/>
        <v>1084.5899999999999</v>
      </c>
      <c r="AV19" s="14">
        <f t="shared" ref="AV19:AV23" si="50">W19</f>
        <v>1324.29</v>
      </c>
      <c r="AW19" s="14">
        <f t="shared" si="42"/>
        <v>162.69</v>
      </c>
      <c r="AX19" s="24">
        <f t="shared" si="43"/>
        <v>108.46</v>
      </c>
      <c r="AY19" s="14">
        <f t="shared" si="44"/>
        <v>16.27</v>
      </c>
      <c r="AZ19" s="24">
        <f t="shared" si="45"/>
        <v>131.24</v>
      </c>
      <c r="BA19" s="14">
        <f t="shared" si="46"/>
        <v>0</v>
      </c>
    </row>
    <row r="20" spans="1:53" x14ac:dyDescent="0.25">
      <c r="A20" s="19" t="s">
        <v>54</v>
      </c>
      <c r="B20" s="26">
        <f>B8</f>
        <v>44701</v>
      </c>
      <c r="C20" s="26">
        <f>C8</f>
        <v>45102</v>
      </c>
      <c r="D20" s="9">
        <v>44854</v>
      </c>
      <c r="E20" s="9"/>
      <c r="F20" s="27"/>
      <c r="G20" s="27"/>
      <c r="H20" s="16"/>
      <c r="I20" s="16"/>
      <c r="J20" s="11">
        <f t="shared" si="47"/>
        <v>401</v>
      </c>
      <c r="K20" s="11">
        <f t="shared" si="31"/>
        <v>-12</v>
      </c>
      <c r="L20" s="11">
        <f t="shared" ref="L20:L22" si="51">C20-D20</f>
        <v>248</v>
      </c>
      <c r="M20" s="12">
        <f t="shared" si="38"/>
        <v>-40.37971698113207</v>
      </c>
      <c r="N20" s="12">
        <f t="shared" si="32"/>
        <v>834.5141509433962</v>
      </c>
      <c r="O20" s="12">
        <f t="shared" si="39"/>
        <v>-14.959002493765587</v>
      </c>
      <c r="P20" s="12">
        <f t="shared" si="33"/>
        <v>309.15271820448879</v>
      </c>
      <c r="Q20" s="14">
        <f>M9+M10+M11+M20</f>
        <v>931.38574694845465</v>
      </c>
      <c r="R20" s="14">
        <f>ROUND(O9+O10+O11+O20,2)</f>
        <v>1141.9000000000001</v>
      </c>
      <c r="S20" s="14"/>
      <c r="T20" s="14"/>
      <c r="U20" s="14">
        <f t="shared" si="34"/>
        <v>-309.15999999999985</v>
      </c>
      <c r="V20" s="16"/>
      <c r="W20" s="14">
        <f t="shared" si="40"/>
        <v>1394.2600000000002</v>
      </c>
      <c r="X20" s="3">
        <f>W20-W11</f>
        <v>-377.48999999999978</v>
      </c>
      <c r="Y20" s="3">
        <f t="shared" si="35"/>
        <v>1493.2600000000002</v>
      </c>
      <c r="Z20" s="3"/>
      <c r="AA20" s="17"/>
      <c r="AB20" s="17"/>
      <c r="AC20" s="17"/>
      <c r="AD20" s="12">
        <f t="shared" si="36"/>
        <v>-834.51415094339632</v>
      </c>
      <c r="AE20" s="3">
        <f t="shared" ref="AE20:AE23" si="52">U20</f>
        <v>-309.15999999999985</v>
      </c>
      <c r="AF20" s="3">
        <f t="shared" si="48"/>
        <v>-377.48999999999978</v>
      </c>
      <c r="AG20" s="3">
        <f t="shared" si="49"/>
        <v>-46.370000000000005</v>
      </c>
      <c r="AH20" s="3">
        <f>AX20-AX11</f>
        <v>-30.920000000000016</v>
      </c>
      <c r="AI20" s="3">
        <f t="shared" si="41"/>
        <v>-4.6400000000000006</v>
      </c>
      <c r="AJ20" s="3">
        <f t="shared" si="41"/>
        <v>-37.410000000000025</v>
      </c>
      <c r="AK20" s="3">
        <f t="shared" si="41"/>
        <v>0</v>
      </c>
      <c r="AL20" s="12"/>
      <c r="AM20" s="12"/>
      <c r="AN20" s="12"/>
      <c r="AO20" s="12"/>
      <c r="AP20" s="12"/>
      <c r="AQ20" s="12"/>
      <c r="AR20" s="12"/>
      <c r="AS20" s="12"/>
      <c r="AT20" s="14">
        <f t="shared" si="37"/>
        <v>931.38574694845465</v>
      </c>
      <c r="AU20" s="12">
        <f t="shared" si="37"/>
        <v>1141.9000000000001</v>
      </c>
      <c r="AV20" s="14">
        <f t="shared" si="50"/>
        <v>1394.2600000000002</v>
      </c>
      <c r="AW20" s="14">
        <f t="shared" si="42"/>
        <v>171.29</v>
      </c>
      <c r="AX20" s="24">
        <f t="shared" si="43"/>
        <v>114.19</v>
      </c>
      <c r="AY20" s="14">
        <f t="shared" si="44"/>
        <v>17.13</v>
      </c>
      <c r="AZ20" s="24">
        <f t="shared" si="45"/>
        <v>138.16999999999999</v>
      </c>
      <c r="BA20" s="14">
        <f t="shared" si="46"/>
        <v>0</v>
      </c>
    </row>
    <row r="21" spans="1:53" x14ac:dyDescent="0.25">
      <c r="A21" s="19" t="s">
        <v>55</v>
      </c>
      <c r="B21" s="26">
        <f>B8</f>
        <v>44701</v>
      </c>
      <c r="C21" s="26">
        <f>C8</f>
        <v>45102</v>
      </c>
      <c r="D21" s="9">
        <v>44854</v>
      </c>
      <c r="E21" s="9"/>
      <c r="F21" s="27"/>
      <c r="G21" s="27"/>
      <c r="H21" s="16"/>
      <c r="I21" s="16"/>
      <c r="J21" s="11">
        <f t="shared" si="47"/>
        <v>401</v>
      </c>
      <c r="K21" s="11">
        <f t="shared" si="31"/>
        <v>85</v>
      </c>
      <c r="L21" s="11">
        <f t="shared" si="51"/>
        <v>248</v>
      </c>
      <c r="M21" s="12">
        <f t="shared" si="38"/>
        <v>255.45908018867922</v>
      </c>
      <c r="N21" s="12">
        <f t="shared" si="32"/>
        <v>745.33943396226414</v>
      </c>
      <c r="O21" s="12">
        <f t="shared" si="39"/>
        <v>336.17182044887784</v>
      </c>
      <c r="P21" s="12">
        <f t="shared" si="33"/>
        <v>980.83072319201995</v>
      </c>
      <c r="Q21" s="14">
        <f>M9+M10+M11+M12+M21</f>
        <v>900.82183185411498</v>
      </c>
      <c r="R21" s="14">
        <f>ROUND(O9+O10+O11+O12+O21,2)</f>
        <v>1372.12</v>
      </c>
      <c r="S21" s="14"/>
      <c r="T21" s="14"/>
      <c r="U21" s="14">
        <f t="shared" si="34"/>
        <v>-980.82999999999993</v>
      </c>
      <c r="V21" s="16"/>
      <c r="W21" s="14">
        <f t="shared" si="40"/>
        <v>1675.36</v>
      </c>
      <c r="X21" s="3">
        <f t="shared" ref="X21:X23" si="53">W21-W12</f>
        <v>-1197.6000000000001</v>
      </c>
      <c r="Y21" s="3">
        <f t="shared" si="35"/>
        <v>1774.36</v>
      </c>
      <c r="Z21" s="3"/>
      <c r="AA21" s="17"/>
      <c r="AB21" s="17"/>
      <c r="AC21" s="17"/>
      <c r="AD21" s="12">
        <f t="shared" si="36"/>
        <v>-745.33943396226402</v>
      </c>
      <c r="AE21" s="3">
        <f t="shared" si="52"/>
        <v>-980.82999999999993</v>
      </c>
      <c r="AF21" s="3">
        <f t="shared" si="48"/>
        <v>-1197.6000000000001</v>
      </c>
      <c r="AG21" s="3">
        <f t="shared" si="49"/>
        <v>-147.12</v>
      </c>
      <c r="AH21" s="3">
        <f>AX21-AX12</f>
        <v>-98.09</v>
      </c>
      <c r="AI21" s="3">
        <f t="shared" si="41"/>
        <v>-14.71</v>
      </c>
      <c r="AJ21" s="3">
        <f t="shared" si="41"/>
        <v>-118.67999999999998</v>
      </c>
      <c r="AK21" s="3">
        <f t="shared" si="41"/>
        <v>0</v>
      </c>
      <c r="AL21" s="12"/>
      <c r="AM21" s="12"/>
      <c r="AN21" s="12"/>
      <c r="AO21" s="12"/>
      <c r="AP21" s="12"/>
      <c r="AQ21" s="12"/>
      <c r="AR21" s="12"/>
      <c r="AS21" s="12"/>
      <c r="AT21" s="14">
        <f t="shared" si="37"/>
        <v>900.82183185411498</v>
      </c>
      <c r="AU21" s="12">
        <f t="shared" si="37"/>
        <v>1372.12</v>
      </c>
      <c r="AV21" s="14">
        <f t="shared" si="50"/>
        <v>1675.36</v>
      </c>
      <c r="AW21" s="14">
        <f t="shared" si="42"/>
        <v>205.82</v>
      </c>
      <c r="AX21" s="24">
        <f t="shared" si="43"/>
        <v>137.21</v>
      </c>
      <c r="AY21" s="14">
        <f t="shared" si="44"/>
        <v>20.58</v>
      </c>
      <c r="AZ21" s="24">
        <f t="shared" si="45"/>
        <v>166.03</v>
      </c>
      <c r="BA21" s="14">
        <f t="shared" si="46"/>
        <v>0</v>
      </c>
    </row>
    <row r="22" spans="1:53" x14ac:dyDescent="0.25">
      <c r="A22" s="19" t="s">
        <v>56</v>
      </c>
      <c r="B22" s="26">
        <f>B8</f>
        <v>44701</v>
      </c>
      <c r="C22" s="26">
        <f>C8</f>
        <v>45102</v>
      </c>
      <c r="D22" s="9">
        <v>44854</v>
      </c>
      <c r="E22" s="9"/>
      <c r="F22" s="27"/>
      <c r="G22" s="27"/>
      <c r="H22" s="16"/>
      <c r="I22" s="16"/>
      <c r="J22" s="11">
        <f t="shared" si="47"/>
        <v>401</v>
      </c>
      <c r="K22" s="11">
        <f t="shared" si="31"/>
        <v>50</v>
      </c>
      <c r="L22" s="11">
        <f t="shared" si="51"/>
        <v>248</v>
      </c>
      <c r="M22" s="12">
        <f t="shared" si="38"/>
        <v>178.21779452054795</v>
      </c>
      <c r="N22" s="12">
        <f t="shared" si="32"/>
        <v>883.96026082191781</v>
      </c>
      <c r="O22" s="12">
        <f t="shared" si="39"/>
        <v>219.51620947630923</v>
      </c>
      <c r="P22" s="12">
        <f t="shared" si="33"/>
        <v>1088.8003990024938</v>
      </c>
      <c r="Q22" s="14">
        <f>M9+M10+M11+M12+M13+M22</f>
        <v>928.76957920485165</v>
      </c>
      <c r="R22" s="14">
        <f>ROUND(O9+O10+O11+O12+O13+O22,2)</f>
        <v>1393.89</v>
      </c>
      <c r="S22" s="14"/>
      <c r="T22" s="14"/>
      <c r="U22" s="14">
        <f t="shared" si="34"/>
        <v>-1088.8</v>
      </c>
      <c r="V22" s="16"/>
      <c r="W22" s="14">
        <f t="shared" si="40"/>
        <v>1701.9400000000003</v>
      </c>
      <c r="X22" s="3">
        <f t="shared" si="53"/>
        <v>-1329.4299999999996</v>
      </c>
      <c r="Y22" s="3">
        <f t="shared" si="35"/>
        <v>1800.9400000000003</v>
      </c>
      <c r="Z22" s="3"/>
      <c r="AA22" s="17"/>
      <c r="AB22" s="17"/>
      <c r="AC22" s="17"/>
      <c r="AD22" s="12">
        <f t="shared" si="36"/>
        <v>-883.96026082191793</v>
      </c>
      <c r="AE22" s="3">
        <f t="shared" si="52"/>
        <v>-1088.8</v>
      </c>
      <c r="AF22" s="3">
        <f t="shared" si="48"/>
        <v>-1329.4299999999996</v>
      </c>
      <c r="AG22" s="3">
        <f>AW22-AW13</f>
        <v>-163.31999999999996</v>
      </c>
      <c r="AH22" s="3">
        <f>AX22-AX13</f>
        <v>-108.88000000000002</v>
      </c>
      <c r="AI22" s="3">
        <f>AY22-AY13</f>
        <v>-16.330000000000002</v>
      </c>
      <c r="AJ22" s="3">
        <f>AZ22-AZ13</f>
        <v>-131.75000000000003</v>
      </c>
      <c r="AK22" s="3">
        <f>BA22-BA13</f>
        <v>0</v>
      </c>
      <c r="AL22" s="12"/>
      <c r="AM22" s="12"/>
      <c r="AN22" s="12"/>
      <c r="AO22" s="12"/>
      <c r="AP22" s="12"/>
      <c r="AQ22" s="12"/>
      <c r="AR22" s="12"/>
      <c r="AS22" s="12"/>
      <c r="AT22" s="14">
        <f t="shared" si="37"/>
        <v>928.76957920485165</v>
      </c>
      <c r="AU22" s="12">
        <f t="shared" si="37"/>
        <v>1393.89</v>
      </c>
      <c r="AV22" s="14">
        <f t="shared" si="50"/>
        <v>1701.9400000000003</v>
      </c>
      <c r="AW22" s="14">
        <f t="shared" si="42"/>
        <v>209.08</v>
      </c>
      <c r="AX22" s="24">
        <f t="shared" si="43"/>
        <v>139.38999999999999</v>
      </c>
      <c r="AY22" s="14">
        <f t="shared" si="44"/>
        <v>20.91</v>
      </c>
      <c r="AZ22" s="24">
        <f t="shared" si="45"/>
        <v>168.66</v>
      </c>
      <c r="BA22" s="14">
        <f t="shared" si="46"/>
        <v>0</v>
      </c>
    </row>
    <row r="23" spans="1:53" x14ac:dyDescent="0.25">
      <c r="A23" s="19" t="s">
        <v>57</v>
      </c>
      <c r="B23" s="26">
        <f>B8</f>
        <v>44701</v>
      </c>
      <c r="C23" s="26">
        <f>C8</f>
        <v>45102</v>
      </c>
      <c r="D23" s="9">
        <v>44854</v>
      </c>
      <c r="E23" s="9"/>
      <c r="F23" s="27"/>
      <c r="G23" s="27"/>
      <c r="H23" s="16"/>
      <c r="I23" s="16"/>
      <c r="J23" s="11">
        <f t="shared" si="47"/>
        <v>401</v>
      </c>
      <c r="K23" s="11">
        <f t="shared" si="31"/>
        <v>30</v>
      </c>
      <c r="L23" s="11">
        <f>C23-D23</f>
        <v>248</v>
      </c>
      <c r="M23" s="12">
        <f>F14/J23*K23</f>
        <v>113.33899479452054</v>
      </c>
      <c r="N23" s="12">
        <f>F14/J23*L23</f>
        <v>936.93569030136985</v>
      </c>
      <c r="O23" s="12">
        <f t="shared" si="39"/>
        <v>141.01645885286783</v>
      </c>
      <c r="P23" s="12">
        <f t="shared" si="33"/>
        <v>1165.7360598503742</v>
      </c>
      <c r="Q23" s="14">
        <f>M9+M10+M11+M12+M13+M14+M23</f>
        <v>935.17789728704338</v>
      </c>
      <c r="R23" s="14">
        <f>ROUND(O9+O10+O11+O12+O13+O14+O23,2)</f>
        <v>1403.19</v>
      </c>
      <c r="S23" s="14"/>
      <c r="T23" s="14"/>
      <c r="U23" s="14">
        <f t="shared" si="34"/>
        <v>-1165.7399999999998</v>
      </c>
      <c r="V23" s="16"/>
      <c r="W23" s="14">
        <f t="shared" si="40"/>
        <v>1713.3</v>
      </c>
      <c r="X23" s="3">
        <f t="shared" si="53"/>
        <v>-1423.36</v>
      </c>
      <c r="Y23" s="3">
        <f t="shared" si="35"/>
        <v>1812.3</v>
      </c>
      <c r="Z23" s="3"/>
      <c r="AA23" s="17"/>
      <c r="AB23" s="17"/>
      <c r="AC23" s="17"/>
      <c r="AD23" s="12">
        <f t="shared" si="36"/>
        <v>-936.93569030136996</v>
      </c>
      <c r="AE23" s="3">
        <f t="shared" si="52"/>
        <v>-1165.7399999999998</v>
      </c>
      <c r="AF23" s="3">
        <f t="shared" si="48"/>
        <v>-1423.36</v>
      </c>
      <c r="AG23" s="3">
        <f t="shared" si="49"/>
        <v>-174.85999999999999</v>
      </c>
      <c r="AH23" s="3">
        <f>AX23-AX14</f>
        <v>-116.57</v>
      </c>
      <c r="AI23" s="3">
        <f t="shared" si="41"/>
        <v>-17.48</v>
      </c>
      <c r="AJ23" s="3">
        <f>AZ23-AZ14</f>
        <v>-141.04999999999998</v>
      </c>
      <c r="AK23" s="3">
        <f t="shared" si="41"/>
        <v>0</v>
      </c>
      <c r="AL23" s="12"/>
      <c r="AM23" s="12"/>
      <c r="AN23" s="12"/>
      <c r="AO23" s="12"/>
      <c r="AP23" s="12"/>
      <c r="AQ23" s="12"/>
      <c r="AR23" s="12"/>
      <c r="AS23" s="12"/>
      <c r="AT23" s="14">
        <f t="shared" si="37"/>
        <v>935.17789728704338</v>
      </c>
      <c r="AU23" s="12">
        <f t="shared" si="37"/>
        <v>1403.19</v>
      </c>
      <c r="AV23" s="14">
        <f t="shared" si="50"/>
        <v>1713.3</v>
      </c>
      <c r="AW23" s="14">
        <f t="shared" si="42"/>
        <v>210.48</v>
      </c>
      <c r="AX23" s="24">
        <f t="shared" si="43"/>
        <v>140.32</v>
      </c>
      <c r="AY23" s="14">
        <f t="shared" si="44"/>
        <v>21.05</v>
      </c>
      <c r="AZ23" s="24">
        <f t="shared" si="45"/>
        <v>169.79</v>
      </c>
      <c r="BA23" s="14">
        <f t="shared" si="46"/>
        <v>0</v>
      </c>
    </row>
  </sheetData>
  <mergeCells count="3">
    <mergeCell ref="K1:L1"/>
    <mergeCell ref="K2:L2"/>
    <mergeCell ref="AL6:AS6"/>
  </mergeCells>
  <conditionalFormatting sqref="T8:T14">
    <cfRule type="expression" dxfId="3" priority="1">
      <formula>R8&lt;&gt;T8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821D-E3C2-4D32-B53A-8057D1E043B2}">
  <dimension ref="A1:BB27"/>
  <sheetViews>
    <sheetView workbookViewId="0">
      <selection activeCell="F3" sqref="F3"/>
    </sheetView>
  </sheetViews>
  <sheetFormatPr defaultRowHeight="15" x14ac:dyDescent="0.25"/>
  <cols>
    <col min="1" max="1" width="17" bestFit="1" customWidth="1"/>
    <col min="2" max="2" width="10.140625" bestFit="1" customWidth="1"/>
    <col min="3" max="4" width="11" bestFit="1" customWidth="1"/>
    <col min="5" max="5" width="22.28515625" bestFit="1" customWidth="1"/>
    <col min="6" max="6" width="13.28515625" bestFit="1" customWidth="1"/>
    <col min="7" max="7" width="16" bestFit="1" customWidth="1"/>
    <col min="8" max="8" width="16" style="1" bestFit="1" customWidth="1"/>
    <col min="9" max="9" width="6.42578125" style="1" bestFit="1" customWidth="1"/>
    <col min="10" max="10" width="12.5703125" style="1" bestFit="1" customWidth="1"/>
    <col min="11" max="11" width="10.42578125" style="1" bestFit="1" customWidth="1"/>
    <col min="12" max="12" width="15.140625" style="1" bestFit="1" customWidth="1"/>
    <col min="13" max="13" width="11.85546875" style="1" bestFit="1" customWidth="1"/>
    <col min="14" max="14" width="10.28515625" style="1" customWidth="1"/>
    <col min="15" max="15" width="9.7109375" style="1" bestFit="1" customWidth="1"/>
    <col min="16" max="18" width="11.7109375" style="1" bestFit="1" customWidth="1"/>
    <col min="19" max="19" width="16" style="1" bestFit="1" customWidth="1"/>
    <col min="20" max="20" width="15.7109375" style="1" customWidth="1"/>
    <col min="21" max="21" width="8.42578125" style="1" bestFit="1" customWidth="1"/>
    <col min="22" max="22" width="9.42578125" style="1" bestFit="1" customWidth="1"/>
    <col min="23" max="24" width="8.42578125" style="1" bestFit="1" customWidth="1"/>
    <col min="25" max="26" width="8.42578125" style="1" customWidth="1"/>
    <col min="27" max="27" width="3.85546875" style="1" customWidth="1"/>
    <col min="28" max="28" width="8.28515625" style="1" bestFit="1" customWidth="1"/>
    <col min="29" max="29" width="8.28515625" style="1" customWidth="1"/>
    <col min="30" max="30" width="9.140625" style="1" bestFit="1"/>
    <col min="31" max="31" width="10" style="1" bestFit="1" customWidth="1"/>
    <col min="32" max="32" width="9.140625" style="1" bestFit="1"/>
    <col min="33" max="33" width="11.85546875" style="1" bestFit="1" customWidth="1"/>
    <col min="34" max="34" width="7.42578125" style="1" bestFit="1" customWidth="1"/>
    <col min="35" max="35" width="11.85546875" style="1" bestFit="1" customWidth="1"/>
    <col min="36" max="36" width="9.5703125" style="1" bestFit="1" customWidth="1"/>
    <col min="37" max="37" width="6.85546875" style="1" bestFit="1" customWidth="1"/>
    <col min="38" max="38" width="9.140625" style="1" bestFit="1"/>
    <col min="39" max="39" width="9.85546875" style="1" bestFit="1" customWidth="1"/>
    <col min="40" max="40" width="10.7109375" style="1" bestFit="1" customWidth="1"/>
    <col min="41" max="41" width="11.85546875" style="1" bestFit="1" customWidth="1"/>
    <col min="42" max="42" width="8.7109375" style="1" bestFit="1" customWidth="1"/>
    <col min="43" max="43" width="11.85546875" style="1" customWidth="1"/>
    <col min="44" max="45" width="9.7109375" style="1" bestFit="1" customWidth="1"/>
    <col min="46" max="46" width="9.140625" style="1" bestFit="1"/>
    <col min="47" max="47" width="10" style="1" bestFit="1" customWidth="1"/>
    <col min="48" max="48" width="10.7109375" style="1" bestFit="1" customWidth="1"/>
    <col min="49" max="49" width="11.85546875" style="1" bestFit="1" customWidth="1"/>
    <col min="50" max="50" width="8.7109375" style="1" bestFit="1" customWidth="1"/>
    <col min="51" max="51" width="11.85546875" style="1" bestFit="1" customWidth="1"/>
    <col min="52" max="52" width="9.140625" style="1" bestFit="1"/>
    <col min="53" max="53" width="6.5703125" style="1" bestFit="1" customWidth="1"/>
    <col min="54" max="54" width="13.28515625" style="1" bestFit="1" customWidth="1"/>
    <col min="55" max="57" width="14.85546875" customWidth="1"/>
    <col min="58" max="58" width="5.140625" bestFit="1" customWidth="1"/>
    <col min="59" max="59" width="8.140625" bestFit="1" customWidth="1"/>
  </cols>
  <sheetData>
    <row r="1" spans="1:54" x14ac:dyDescent="0.25">
      <c r="K1" s="37"/>
      <c r="L1" s="37"/>
    </row>
    <row r="2" spans="1:54" x14ac:dyDescent="0.25">
      <c r="K2" s="38"/>
      <c r="L2" s="38"/>
    </row>
    <row r="3" spans="1:54" ht="30" customHeight="1" x14ac:dyDescent="0.25">
      <c r="J3" s="6" t="s">
        <v>1</v>
      </c>
      <c r="K3" s="6" t="s">
        <v>2</v>
      </c>
      <c r="L3" s="6" t="s">
        <v>3</v>
      </c>
      <c r="M3" s="6" t="s">
        <v>51</v>
      </c>
      <c r="AU3" s="34"/>
      <c r="AV3" s="34"/>
    </row>
    <row r="4" spans="1:54" x14ac:dyDescent="0.25">
      <c r="J4" s="7">
        <v>1</v>
      </c>
      <c r="K4" s="7">
        <v>1.1000000000000001</v>
      </c>
      <c r="L4" s="7">
        <v>1.1100000000000001</v>
      </c>
      <c r="M4" s="18">
        <v>0.15</v>
      </c>
      <c r="AV4" s="29"/>
    </row>
    <row r="5" spans="1:54" x14ac:dyDescent="0.25">
      <c r="J5" s="15">
        <f>J4-1</f>
        <v>0</v>
      </c>
      <c r="K5" s="15">
        <f>K4-1</f>
        <v>0.10000000000000009</v>
      </c>
      <c r="L5" s="15">
        <f>L4-1</f>
        <v>0.1100000000000001</v>
      </c>
      <c r="M5" s="16"/>
    </row>
    <row r="6" spans="1:54" x14ac:dyDescent="0.25">
      <c r="AL6" s="39" t="s">
        <v>67</v>
      </c>
      <c r="AM6" s="40"/>
      <c r="AN6" s="40"/>
      <c r="AO6" s="40"/>
      <c r="AP6" s="40"/>
      <c r="AQ6" s="40"/>
      <c r="AR6" s="40"/>
      <c r="AS6" s="41"/>
    </row>
    <row r="7" spans="1:54" ht="75" x14ac:dyDescent="0.25">
      <c r="A7" s="5" t="s">
        <v>10</v>
      </c>
      <c r="B7" s="4" t="s">
        <v>5</v>
      </c>
      <c r="C7" s="4" t="s">
        <v>4</v>
      </c>
      <c r="D7" s="4" t="s">
        <v>58</v>
      </c>
      <c r="E7" s="4" t="s">
        <v>66</v>
      </c>
      <c r="F7" s="4" t="s">
        <v>68</v>
      </c>
      <c r="G7" s="6" t="s">
        <v>65</v>
      </c>
      <c r="H7" s="6" t="s">
        <v>69</v>
      </c>
      <c r="I7" s="2" t="s">
        <v>60</v>
      </c>
      <c r="J7" s="6" t="s">
        <v>7</v>
      </c>
      <c r="K7" s="6" t="s">
        <v>8</v>
      </c>
      <c r="L7" s="6" t="s">
        <v>9</v>
      </c>
      <c r="M7" s="6" t="s">
        <v>22</v>
      </c>
      <c r="N7" s="6" t="s">
        <v>23</v>
      </c>
      <c r="O7" s="6" t="s">
        <v>18</v>
      </c>
      <c r="P7" s="6" t="s">
        <v>19</v>
      </c>
      <c r="Q7" s="6" t="s">
        <v>24</v>
      </c>
      <c r="R7" s="6" t="s">
        <v>20</v>
      </c>
      <c r="S7" s="6" t="s">
        <v>71</v>
      </c>
      <c r="T7" s="6" t="s">
        <v>70</v>
      </c>
      <c r="U7" s="6" t="s">
        <v>6</v>
      </c>
      <c r="V7" s="6" t="s">
        <v>21</v>
      </c>
      <c r="W7" s="6" t="s">
        <v>48</v>
      </c>
      <c r="X7" s="6" t="s">
        <v>49</v>
      </c>
      <c r="Y7" s="6" t="s">
        <v>62</v>
      </c>
      <c r="Z7" s="6" t="s">
        <v>61</v>
      </c>
      <c r="AA7" s="17"/>
      <c r="AB7" s="6" t="s">
        <v>63</v>
      </c>
      <c r="AC7" s="6" t="s">
        <v>64</v>
      </c>
      <c r="AD7" s="6" t="s">
        <v>25</v>
      </c>
      <c r="AE7" s="6" t="s">
        <v>26</v>
      </c>
      <c r="AF7" s="6" t="s">
        <v>50</v>
      </c>
      <c r="AG7" s="6" t="s">
        <v>27</v>
      </c>
      <c r="AH7" s="6" t="s">
        <v>28</v>
      </c>
      <c r="AI7" s="6" t="s">
        <v>29</v>
      </c>
      <c r="AJ7" s="6" t="s">
        <v>30</v>
      </c>
      <c r="AK7" s="6" t="s">
        <v>31</v>
      </c>
      <c r="AL7" s="6" t="s">
        <v>32</v>
      </c>
      <c r="AM7" s="6" t="s">
        <v>33</v>
      </c>
      <c r="AN7" s="6" t="s">
        <v>34</v>
      </c>
      <c r="AO7" s="6" t="s">
        <v>35</v>
      </c>
      <c r="AP7" s="6" t="s">
        <v>36</v>
      </c>
      <c r="AQ7" s="6" t="s">
        <v>37</v>
      </c>
      <c r="AR7" s="6" t="s">
        <v>38</v>
      </c>
      <c r="AS7" s="6" t="s">
        <v>39</v>
      </c>
      <c r="AT7" s="6" t="s">
        <v>40</v>
      </c>
      <c r="AU7" s="6" t="s">
        <v>41</v>
      </c>
      <c r="AV7" s="6" t="s">
        <v>42</v>
      </c>
      <c r="AW7" s="6" t="s">
        <v>43</v>
      </c>
      <c r="AX7" s="6" t="s">
        <v>44</v>
      </c>
      <c r="AY7" s="6" t="s">
        <v>45</v>
      </c>
      <c r="AZ7" s="6" t="s">
        <v>46</v>
      </c>
      <c r="BA7" s="6" t="s">
        <v>47</v>
      </c>
    </row>
    <row r="8" spans="1:54" x14ac:dyDescent="0.25">
      <c r="A8" s="8" t="s">
        <v>11</v>
      </c>
      <c r="B8" s="9">
        <v>44701</v>
      </c>
      <c r="C8" s="9">
        <v>45102</v>
      </c>
      <c r="D8" s="9">
        <f>B8</f>
        <v>44701</v>
      </c>
      <c r="E8" s="32">
        <v>1186.56470751604</v>
      </c>
      <c r="F8" s="31">
        <f>E8/365*J8</f>
        <v>1303.5957471614577</v>
      </c>
      <c r="G8" s="32">
        <v>1412.5770327571906</v>
      </c>
      <c r="H8" s="31">
        <f>ROUND(G8/365*J8,2)</f>
        <v>1551.9</v>
      </c>
      <c r="I8" s="10">
        <v>90</v>
      </c>
      <c r="J8" s="11">
        <f>C8-B8</f>
        <v>401</v>
      </c>
      <c r="K8" s="11" t="s">
        <v>0</v>
      </c>
      <c r="L8" s="11" t="s">
        <v>0</v>
      </c>
      <c r="M8" s="11" t="s">
        <v>0</v>
      </c>
      <c r="N8" s="11" t="s">
        <v>0</v>
      </c>
      <c r="O8" s="12" t="s">
        <v>0</v>
      </c>
      <c r="P8" s="12" t="s">
        <v>0</v>
      </c>
      <c r="Q8" s="12">
        <f>F8</f>
        <v>1303.5957471614577</v>
      </c>
      <c r="R8" s="14">
        <f>H8</f>
        <v>1551.9</v>
      </c>
      <c r="S8" s="33">
        <f>G8/365*J8</f>
        <v>1551.8996990017354</v>
      </c>
      <c r="T8" s="14">
        <f>R8</f>
        <v>1551.9</v>
      </c>
      <c r="U8" s="14">
        <v>0</v>
      </c>
      <c r="V8" s="12">
        <f>AN8</f>
        <v>1724.7570327571907</v>
      </c>
      <c r="W8" s="3">
        <f t="shared" ref="W8:W13" si="0">AU8+AX8+AZ8+BA8</f>
        <v>1894.8700000000001</v>
      </c>
      <c r="X8" s="3">
        <f>U8*J4*K4*L4</f>
        <v>0</v>
      </c>
      <c r="Y8" s="3">
        <f>W8+(I8*K5)+I8</f>
        <v>1993.8700000000001</v>
      </c>
      <c r="Z8" s="3">
        <f>X8</f>
        <v>0</v>
      </c>
      <c r="AA8" s="17"/>
      <c r="AB8" s="14"/>
      <c r="AC8" s="14"/>
      <c r="AD8" s="14">
        <v>0</v>
      </c>
      <c r="AE8" s="12">
        <v>0</v>
      </c>
      <c r="AF8" s="12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f t="shared" ref="AL8:AL14" si="1">E8</f>
        <v>1186.56470751604</v>
      </c>
      <c r="AM8" s="14">
        <f t="shared" ref="AM8:AM14" si="2">G8</f>
        <v>1412.5770327571906</v>
      </c>
      <c r="AN8" s="14">
        <f>AM8+AP8+AR8+AS8</f>
        <v>1724.7570327571907</v>
      </c>
      <c r="AO8" s="14">
        <f>ROUND(AM8*M4,2)</f>
        <v>211.89</v>
      </c>
      <c r="AP8" s="14">
        <f>ROUND((AM8+AS8)*K5,2)</f>
        <v>141.26</v>
      </c>
      <c r="AQ8" s="14">
        <f>ROUND(AO8*K5,2)</f>
        <v>21.19</v>
      </c>
      <c r="AR8" s="14">
        <f>ROUND((AM8+AP8+AS8)*L5,2)</f>
        <v>170.92</v>
      </c>
      <c r="AS8" s="14">
        <f>ROUND(AM8*J5,2)</f>
        <v>0</v>
      </c>
      <c r="AT8" s="14">
        <f t="shared" ref="AT8:AU14" si="3">Q8</f>
        <v>1303.5957471614577</v>
      </c>
      <c r="AU8" s="14">
        <f t="shared" si="3"/>
        <v>1551.9</v>
      </c>
      <c r="AV8" s="14">
        <f>W8</f>
        <v>1894.8700000000001</v>
      </c>
      <c r="AW8" s="14">
        <f>ROUND(AU8*$M$4,2)</f>
        <v>232.79</v>
      </c>
      <c r="AX8" s="14">
        <f>ROUND((AU8+BA8)*$K$5,2)</f>
        <v>155.19</v>
      </c>
      <c r="AY8" s="14">
        <f>ROUND(AW8*$K$5,2)</f>
        <v>23.28</v>
      </c>
      <c r="AZ8" s="14">
        <f>ROUND((AU8+AX8+BA8)*$L$5,2)</f>
        <v>187.78</v>
      </c>
      <c r="BA8" s="14">
        <f>ROUND(AU8*J5,2)</f>
        <v>0</v>
      </c>
    </row>
    <row r="9" spans="1:54" x14ac:dyDescent="0.25">
      <c r="A9" s="8" t="s">
        <v>12</v>
      </c>
      <c r="B9" s="13">
        <f>B8</f>
        <v>44701</v>
      </c>
      <c r="C9" s="13">
        <f>C8</f>
        <v>45102</v>
      </c>
      <c r="D9" s="9">
        <v>44661</v>
      </c>
      <c r="E9" s="32">
        <v>1672.8612465006499</v>
      </c>
      <c r="F9" s="31">
        <f>E9/365*J9</f>
        <v>1837.8557804020838</v>
      </c>
      <c r="G9" s="32">
        <v>1991.5014839293453</v>
      </c>
      <c r="H9" s="31">
        <f>ROUND(G9/365*J9,2)</f>
        <v>2187.92</v>
      </c>
      <c r="I9" s="10">
        <v>90</v>
      </c>
      <c r="J9" s="11">
        <f>C9-B9</f>
        <v>401</v>
      </c>
      <c r="K9" s="11">
        <f>D9-D8</f>
        <v>-40</v>
      </c>
      <c r="L9" s="11">
        <f>C9-D9</f>
        <v>441</v>
      </c>
      <c r="M9" s="12">
        <f>E8/365*K9</f>
        <v>-130.03448849490849</v>
      </c>
      <c r="N9" s="12">
        <f>E9/365*L9</f>
        <v>2021.1830402925659</v>
      </c>
      <c r="O9" s="12">
        <f t="shared" ref="O9:O14" si="4">G8/365*K9</f>
        <v>-154.80296249393871</v>
      </c>
      <c r="P9" s="12">
        <f>G9/365*L9</f>
        <v>2406.1702860625787</v>
      </c>
      <c r="Q9" s="14">
        <f>M9+N9</f>
        <v>1891.1485517976575</v>
      </c>
      <c r="R9" s="14">
        <f>ROUND(O9+P9,2)</f>
        <v>2251.37</v>
      </c>
      <c r="S9" s="33">
        <f>S8-(G8/365*L9)+P9</f>
        <v>2251.3673235686401</v>
      </c>
      <c r="T9" s="14">
        <f>ROUND(S9,2)</f>
        <v>2251.37</v>
      </c>
      <c r="U9" s="14">
        <f t="shared" ref="U9:U14" si="5">R9-R8</f>
        <v>699.4699999999998</v>
      </c>
      <c r="V9" s="12">
        <f t="shared" ref="V9:V14" si="6">AN9</f>
        <v>2431.6214839293452</v>
      </c>
      <c r="W9" s="3">
        <f>AU9+AX9+AZ9+BA9</f>
        <v>2748.93</v>
      </c>
      <c r="X9" s="3">
        <f>W9-W8</f>
        <v>854.05999999999972</v>
      </c>
      <c r="Y9" s="3">
        <f>W9+(I9*K5)+I9</f>
        <v>2847.93</v>
      </c>
      <c r="Z9" s="3">
        <f>Y9-Y8</f>
        <v>854.05999999999972</v>
      </c>
      <c r="AA9" s="17"/>
      <c r="AB9" s="14">
        <f t="shared" ref="AB9:AB14" si="7">I9-I8</f>
        <v>0</v>
      </c>
      <c r="AC9" s="14">
        <f t="shared" ref="AC9:AC14" si="8">(I9*$K$5)-(I8*$K$5)</f>
        <v>0</v>
      </c>
      <c r="AD9" s="14">
        <f>Q9-Q8</f>
        <v>587.55280463619988</v>
      </c>
      <c r="AE9" s="12">
        <f>U9</f>
        <v>699.4699999999998</v>
      </c>
      <c r="AF9" s="12">
        <f>X9</f>
        <v>854.05999999999972</v>
      </c>
      <c r="AG9" s="14">
        <f>AW9-AW8</f>
        <v>104.91999999999999</v>
      </c>
      <c r="AH9" s="30">
        <f>AX9-AX8</f>
        <v>69.949999999999989</v>
      </c>
      <c r="AI9" s="30">
        <f>AY9-AY8</f>
        <v>10.490000000000002</v>
      </c>
      <c r="AJ9" s="14">
        <f>AZ9-AZ8</f>
        <v>84.640000000000015</v>
      </c>
      <c r="AK9" s="14">
        <f>BA9-BA8</f>
        <v>0</v>
      </c>
      <c r="AL9" s="14">
        <f t="shared" si="1"/>
        <v>1672.8612465006499</v>
      </c>
      <c r="AM9" s="14">
        <f t="shared" si="2"/>
        <v>1991.5014839293453</v>
      </c>
      <c r="AN9" s="14">
        <f>AM9+AP9+AR9+AS9</f>
        <v>2431.6214839293452</v>
      </c>
      <c r="AO9" s="14">
        <f>ROUND(AM9*M4,2)</f>
        <v>298.73</v>
      </c>
      <c r="AP9" s="14">
        <f>ROUND((AM9+AS9)*K5,2)</f>
        <v>199.15</v>
      </c>
      <c r="AQ9" s="14">
        <f>ROUND(AO9*K5,2)</f>
        <v>29.87</v>
      </c>
      <c r="AR9" s="14">
        <f>ROUND((AM9+AP9+AS9)*L5,2)</f>
        <v>240.97</v>
      </c>
      <c r="AS9" s="14">
        <f>ROUND(AM9*J5,2)</f>
        <v>0</v>
      </c>
      <c r="AT9" s="14">
        <f>Q9</f>
        <v>1891.1485517976575</v>
      </c>
      <c r="AU9" s="14">
        <f t="shared" si="3"/>
        <v>2251.37</v>
      </c>
      <c r="AV9" s="14">
        <f>W9</f>
        <v>2748.93</v>
      </c>
      <c r="AW9" s="14">
        <f>ROUND(AU9*$M$4,2)</f>
        <v>337.71</v>
      </c>
      <c r="AX9" s="14">
        <f>ROUND((AU9+BA9)*$K$5,2)</f>
        <v>225.14</v>
      </c>
      <c r="AY9" s="14">
        <f t="shared" ref="AY9:AY14" si="9">ROUND(AW9*$K$5,2)</f>
        <v>33.770000000000003</v>
      </c>
      <c r="AZ9" s="14">
        <f>ROUND((AU9+AX9+BA9)*$L$5,2)</f>
        <v>272.42</v>
      </c>
      <c r="BA9" s="14">
        <f>ROUND(AU9*J5,2)</f>
        <v>0</v>
      </c>
      <c r="BB9" s="29">
        <f>AU9*M4</f>
        <v>337.70549999999997</v>
      </c>
    </row>
    <row r="10" spans="1:54" x14ac:dyDescent="0.25">
      <c r="A10" s="8" t="s">
        <v>13</v>
      </c>
      <c r="B10" s="13">
        <f>B8</f>
        <v>44701</v>
      </c>
      <c r="C10" s="13">
        <f>C8</f>
        <v>45102</v>
      </c>
      <c r="D10" s="9">
        <v>44666</v>
      </c>
      <c r="E10" s="32">
        <v>1846.49848939751</v>
      </c>
      <c r="F10" s="31">
        <f t="shared" ref="F10:F14" si="10">E10/365*J10</f>
        <v>2028.6188883517848</v>
      </c>
      <c r="G10" s="32">
        <v>2198.2124873779899</v>
      </c>
      <c r="H10" s="31">
        <f t="shared" ref="H10:H14" si="11">ROUND(G10/365*J10,2)</f>
        <v>2415.02</v>
      </c>
      <c r="I10" s="10">
        <v>90</v>
      </c>
      <c r="J10" s="11">
        <f>C10-B10</f>
        <v>401</v>
      </c>
      <c r="K10" s="11">
        <f>D10-D9</f>
        <v>5</v>
      </c>
      <c r="L10" s="11">
        <f t="shared" ref="L10:L14" si="12">C10-D10</f>
        <v>436</v>
      </c>
      <c r="M10" s="12">
        <f t="shared" ref="M10:M14" si="13">E9/365*K10</f>
        <v>22.915907486310271</v>
      </c>
      <c r="N10" s="12">
        <f t="shared" ref="N10:N14" si="14">E10/365*L10</f>
        <v>2205.6803873351078</v>
      </c>
      <c r="O10" s="12">
        <f t="shared" si="4"/>
        <v>27.280842245607467</v>
      </c>
      <c r="P10" s="12">
        <f t="shared" ref="P10:P14" si="15">G10/365*L10</f>
        <v>2625.8099849227497</v>
      </c>
      <c r="Q10" s="14">
        <f>SUM(M9:M10)+N10</f>
        <v>2098.5618063265097</v>
      </c>
      <c r="R10" s="14">
        <f>ROUND(SUM(O9:O10)+P10,2)</f>
        <v>2498.29</v>
      </c>
      <c r="S10" s="33">
        <f>S9-(G9/365*L10)+P10</f>
        <v>2498.2878646744184</v>
      </c>
      <c r="T10" s="14">
        <f>ROUND(S10,2)</f>
        <v>2498.29</v>
      </c>
      <c r="U10" s="14">
        <f t="shared" si="5"/>
        <v>246.92000000000007</v>
      </c>
      <c r="V10" s="12">
        <f t="shared" si="6"/>
        <v>2684.0124873779901</v>
      </c>
      <c r="W10" s="3">
        <f t="shared" si="0"/>
        <v>3050.41</v>
      </c>
      <c r="X10" s="3">
        <f>W10-W9</f>
        <v>301.48</v>
      </c>
      <c r="Y10" s="3">
        <f>W10+(I10*K5)+I10</f>
        <v>3149.41</v>
      </c>
      <c r="Z10" s="3">
        <f>Y10-Y9</f>
        <v>301.48</v>
      </c>
      <c r="AA10" s="17"/>
      <c r="AB10" s="14">
        <f t="shared" si="7"/>
        <v>0</v>
      </c>
      <c r="AC10" s="14">
        <f t="shared" si="8"/>
        <v>0</v>
      </c>
      <c r="AD10" s="14">
        <f t="shared" ref="AD10:AD14" si="16">Q10-Q9</f>
        <v>207.41325452885212</v>
      </c>
      <c r="AE10" s="12">
        <f>U10</f>
        <v>246.92000000000007</v>
      </c>
      <c r="AF10" s="12">
        <f t="shared" ref="AF10:AF13" si="17">X10</f>
        <v>301.48</v>
      </c>
      <c r="AG10" s="14">
        <f>AW10-AW9</f>
        <v>37.03000000000003</v>
      </c>
      <c r="AH10" s="30">
        <f>AX10-AX9</f>
        <v>24.690000000000026</v>
      </c>
      <c r="AI10" s="30">
        <f t="shared" ref="AG10:AK14" si="18">AY10-AY9</f>
        <v>3.6999999999999957</v>
      </c>
      <c r="AJ10" s="14">
        <f>AZ10-AZ9</f>
        <v>29.870000000000005</v>
      </c>
      <c r="AK10" s="14">
        <f t="shared" si="18"/>
        <v>0</v>
      </c>
      <c r="AL10" s="14">
        <f t="shared" si="1"/>
        <v>1846.49848939751</v>
      </c>
      <c r="AM10" s="14">
        <f t="shared" si="2"/>
        <v>2198.2124873779899</v>
      </c>
      <c r="AN10" s="14">
        <f t="shared" ref="AN10:AN14" si="19">AM10+AP10+AR10+AS10</f>
        <v>2684.0124873779901</v>
      </c>
      <c r="AO10" s="14">
        <f>ROUND(AM10*M4,2)</f>
        <v>329.73</v>
      </c>
      <c r="AP10" s="14">
        <f>ROUND((AM10+AS10)*K5,2)</f>
        <v>219.82</v>
      </c>
      <c r="AQ10" s="14">
        <f>ROUND(AO10*K5,2)</f>
        <v>32.97</v>
      </c>
      <c r="AR10" s="14">
        <f>ROUND((AM10+AP10+AS10)*L5,2)</f>
        <v>265.98</v>
      </c>
      <c r="AS10" s="14">
        <f>ROUND(AM10*J5,2)</f>
        <v>0</v>
      </c>
      <c r="AT10" s="14">
        <f t="shared" si="3"/>
        <v>2098.5618063265097</v>
      </c>
      <c r="AU10" s="14">
        <f t="shared" si="3"/>
        <v>2498.29</v>
      </c>
      <c r="AV10" s="14">
        <f t="shared" ref="AV10:AV14" si="20">W10</f>
        <v>3050.41</v>
      </c>
      <c r="AW10" s="14">
        <f>ROUND(AU10*$M$4,2)</f>
        <v>374.74</v>
      </c>
      <c r="AX10" s="14">
        <f>ROUND((AU10+BA10)*$K$5,2)</f>
        <v>249.83</v>
      </c>
      <c r="AY10" s="14">
        <f t="shared" si="9"/>
        <v>37.47</v>
      </c>
      <c r="AZ10" s="14">
        <f>ROUND((AU10+AX10+BA10)*$L$5,2)</f>
        <v>302.29000000000002</v>
      </c>
      <c r="BA10" s="14">
        <f>ROUND(AU10*J5,2)</f>
        <v>0</v>
      </c>
    </row>
    <row r="11" spans="1:54" x14ac:dyDescent="0.25">
      <c r="A11" s="8" t="s">
        <v>14</v>
      </c>
      <c r="B11" s="13">
        <f>B8</f>
        <v>44701</v>
      </c>
      <c r="C11" s="13">
        <f>C8</f>
        <v>45102</v>
      </c>
      <c r="D11" s="9">
        <v>44866</v>
      </c>
      <c r="E11" s="32">
        <v>1228.2163915094341</v>
      </c>
      <c r="F11" s="31">
        <f t="shared" si="10"/>
        <v>1349.3555424528302</v>
      </c>
      <c r="G11" s="32">
        <v>455</v>
      </c>
      <c r="H11" s="31">
        <f t="shared" si="11"/>
        <v>499.88</v>
      </c>
      <c r="I11" s="10">
        <v>90</v>
      </c>
      <c r="J11" s="11">
        <f>C11-B11</f>
        <v>401</v>
      </c>
      <c r="K11" s="11">
        <f>D11-D10</f>
        <v>200</v>
      </c>
      <c r="L11" s="11">
        <f t="shared" si="12"/>
        <v>236</v>
      </c>
      <c r="M11" s="12">
        <f t="shared" si="13"/>
        <v>1011.7799941904163</v>
      </c>
      <c r="N11" s="12">
        <f t="shared" si="14"/>
        <v>794.13443396226421</v>
      </c>
      <c r="O11" s="12">
        <f t="shared" si="4"/>
        <v>1204.4999930838301</v>
      </c>
      <c r="P11" s="12">
        <f t="shared" si="15"/>
        <v>294.19178082191786</v>
      </c>
      <c r="Q11" s="14">
        <f>SUM(M9:M11)+N11</f>
        <v>1698.7958471440825</v>
      </c>
      <c r="R11" s="14">
        <f>ROUND(SUM(O9:O11)+P11,2)</f>
        <v>1371.17</v>
      </c>
      <c r="S11" s="33">
        <f t="shared" ref="S11:S14" si="21">G11/365*J11</f>
        <v>499.87671232876716</v>
      </c>
      <c r="T11" s="14">
        <f>ROUND(T10-(G10/365*L11)+P11,2)</f>
        <v>1371.17</v>
      </c>
      <c r="U11" s="14">
        <f t="shared" si="5"/>
        <v>-1127.1199999999999</v>
      </c>
      <c r="V11" s="12">
        <f t="shared" si="6"/>
        <v>555.55999999999995</v>
      </c>
      <c r="W11" s="3">
        <f t="shared" si="0"/>
        <v>1674.2</v>
      </c>
      <c r="X11" s="3">
        <f t="shared" ref="X11:X14" si="22">W11-W10</f>
        <v>-1376.2099999999998</v>
      </c>
      <c r="Y11" s="3">
        <f>W11+(I11*K5)+I11</f>
        <v>1773.2</v>
      </c>
      <c r="Z11" s="3">
        <f>Y11-Y10</f>
        <v>-1376.2099999999998</v>
      </c>
      <c r="AA11" s="17"/>
      <c r="AB11" s="14">
        <f t="shared" si="7"/>
        <v>0</v>
      </c>
      <c r="AC11" s="14">
        <f t="shared" si="8"/>
        <v>0</v>
      </c>
      <c r="AD11" s="14">
        <f t="shared" si="16"/>
        <v>-399.7659591824272</v>
      </c>
      <c r="AE11" s="12">
        <f>U11</f>
        <v>-1127.1199999999999</v>
      </c>
      <c r="AF11" s="12">
        <f>X11</f>
        <v>-1376.2099999999998</v>
      </c>
      <c r="AG11" s="14">
        <f t="shared" si="18"/>
        <v>-169.06</v>
      </c>
      <c r="AH11" s="30">
        <f t="shared" si="18"/>
        <v>-112.71000000000001</v>
      </c>
      <c r="AI11" s="30">
        <f t="shared" si="18"/>
        <v>-16.899999999999999</v>
      </c>
      <c r="AJ11" s="14">
        <f t="shared" si="18"/>
        <v>-136.38000000000002</v>
      </c>
      <c r="AK11" s="14">
        <f t="shared" si="18"/>
        <v>0</v>
      </c>
      <c r="AL11" s="14">
        <f t="shared" si="1"/>
        <v>1228.2163915094341</v>
      </c>
      <c r="AM11" s="14">
        <f t="shared" si="2"/>
        <v>455</v>
      </c>
      <c r="AN11" s="14">
        <f t="shared" si="19"/>
        <v>555.55999999999995</v>
      </c>
      <c r="AO11" s="14">
        <f>ROUND(AM11*M4,2)</f>
        <v>68.25</v>
      </c>
      <c r="AP11" s="14">
        <f>ROUND((AM11+AS11)*K5,2)</f>
        <v>45.5</v>
      </c>
      <c r="AQ11" s="14">
        <f>ROUND(AO11*K5,2)</f>
        <v>6.83</v>
      </c>
      <c r="AR11" s="14">
        <f>ROUND((AM11+AP11+AS11)*L5,2)</f>
        <v>55.06</v>
      </c>
      <c r="AS11" s="14">
        <f>ROUND(AM11*J5,2)</f>
        <v>0</v>
      </c>
      <c r="AT11" s="14">
        <f t="shared" si="3"/>
        <v>1698.7958471440825</v>
      </c>
      <c r="AU11" s="14">
        <f t="shared" si="3"/>
        <v>1371.17</v>
      </c>
      <c r="AV11" s="14">
        <f t="shared" si="20"/>
        <v>1674.2</v>
      </c>
      <c r="AW11" s="14">
        <f t="shared" ref="AW11:AW14" si="23">ROUND(AU11*$M$4,2)</f>
        <v>205.68</v>
      </c>
      <c r="AX11" s="14">
        <f t="shared" ref="AX11:AX14" si="24">ROUND((AU11+BA11)*$K$5,2)</f>
        <v>137.12</v>
      </c>
      <c r="AY11" s="14">
        <f t="shared" si="9"/>
        <v>20.57</v>
      </c>
      <c r="AZ11" s="14">
        <f t="shared" ref="AZ11:AZ14" si="25">ROUND((AU11+AX11+BA11)*$L$5,2)</f>
        <v>165.91</v>
      </c>
      <c r="BA11" s="14">
        <f>ROUND(AU11*J5,2)</f>
        <v>0</v>
      </c>
    </row>
    <row r="12" spans="1:54" x14ac:dyDescent="0.25">
      <c r="A12" s="8" t="s">
        <v>16</v>
      </c>
      <c r="B12" s="13">
        <f>B8</f>
        <v>44701</v>
      </c>
      <c r="C12" s="13">
        <f>C8</f>
        <v>45102</v>
      </c>
      <c r="D12" s="9">
        <v>44769</v>
      </c>
      <c r="E12" s="32">
        <v>1096.9713443396226</v>
      </c>
      <c r="F12" s="31">
        <f t="shared" si="10"/>
        <v>1205.1657783018868</v>
      </c>
      <c r="G12" s="32">
        <v>1443.5577830188681</v>
      </c>
      <c r="H12" s="31">
        <f t="shared" si="11"/>
        <v>1585.94</v>
      </c>
      <c r="I12" s="10">
        <v>90</v>
      </c>
      <c r="J12" s="11">
        <f>C12-B12</f>
        <v>401</v>
      </c>
      <c r="K12" s="11">
        <f t="shared" ref="K12:K14" si="26">D12-D11</f>
        <v>-97</v>
      </c>
      <c r="L12" s="11">
        <f t="shared" si="12"/>
        <v>333</v>
      </c>
      <c r="M12" s="12">
        <f t="shared" si="13"/>
        <v>-326.40271226415098</v>
      </c>
      <c r="N12" s="12">
        <f t="shared" si="14"/>
        <v>1000.7985141509433</v>
      </c>
      <c r="O12" s="12">
        <f t="shared" si="4"/>
        <v>-120.91780821917808</v>
      </c>
      <c r="P12" s="12">
        <f t="shared" si="15"/>
        <v>1316.9992924528303</v>
      </c>
      <c r="Q12" s="14">
        <f>SUM(M9:M12)+N12</f>
        <v>1579.0572150686105</v>
      </c>
      <c r="R12" s="14">
        <f>ROUND(SUM(O9:O12)+P12,2)</f>
        <v>2273.06</v>
      </c>
      <c r="S12" s="33">
        <f t="shared" si="21"/>
        <v>1585.9360849056604</v>
      </c>
      <c r="T12" s="14">
        <f>ROUND(T11-(G11/365*L12)+P12,2)</f>
        <v>2273.06</v>
      </c>
      <c r="U12" s="14">
        <f t="shared" si="5"/>
        <v>901.88999999999987</v>
      </c>
      <c r="V12" s="12">
        <f t="shared" si="6"/>
        <v>1762.5877830188683</v>
      </c>
      <c r="W12" s="3">
        <f t="shared" si="0"/>
        <v>2775.41</v>
      </c>
      <c r="X12" s="3">
        <f t="shared" si="22"/>
        <v>1101.2099999999998</v>
      </c>
      <c r="Y12" s="3">
        <f>W12+(I12*K5)+I12</f>
        <v>2874.41</v>
      </c>
      <c r="Z12" s="3">
        <f t="shared" ref="Z12:Z14" si="27">Y12-Y11</f>
        <v>1101.2099999999998</v>
      </c>
      <c r="AA12" s="17"/>
      <c r="AB12" s="14">
        <f t="shared" si="7"/>
        <v>0</v>
      </c>
      <c r="AC12" s="14">
        <f t="shared" si="8"/>
        <v>0</v>
      </c>
      <c r="AD12" s="14">
        <f t="shared" si="16"/>
        <v>-119.73863207547197</v>
      </c>
      <c r="AE12" s="12">
        <f t="shared" ref="AE12:AE14" si="28">U12</f>
        <v>901.88999999999987</v>
      </c>
      <c r="AF12" s="12">
        <f t="shared" si="17"/>
        <v>1101.2099999999998</v>
      </c>
      <c r="AG12" s="14">
        <f t="shared" si="18"/>
        <v>135.27999999999997</v>
      </c>
      <c r="AH12" s="30">
        <f t="shared" si="18"/>
        <v>90.19</v>
      </c>
      <c r="AI12" s="30">
        <f t="shared" si="18"/>
        <v>13.530000000000001</v>
      </c>
      <c r="AJ12" s="14">
        <f t="shared" si="18"/>
        <v>109.13000000000002</v>
      </c>
      <c r="AK12" s="14">
        <f t="shared" si="18"/>
        <v>0</v>
      </c>
      <c r="AL12" s="14">
        <f t="shared" si="1"/>
        <v>1096.9713443396226</v>
      </c>
      <c r="AM12" s="14">
        <f t="shared" si="2"/>
        <v>1443.5577830188681</v>
      </c>
      <c r="AN12" s="14">
        <f t="shared" si="19"/>
        <v>1762.5877830188683</v>
      </c>
      <c r="AO12" s="14">
        <f>ROUND(AM12*M4,2)</f>
        <v>216.53</v>
      </c>
      <c r="AP12" s="14">
        <f>ROUND((AM12+AS12)*K5,2)</f>
        <v>144.36000000000001</v>
      </c>
      <c r="AQ12" s="14">
        <f>ROUND(AO12*K5,2)</f>
        <v>21.65</v>
      </c>
      <c r="AR12" s="14">
        <f>ROUND((AM12+AP12+AS12)*L5,2)</f>
        <v>174.67</v>
      </c>
      <c r="AS12" s="14">
        <f>ROUND(AM12*J5,2)</f>
        <v>0</v>
      </c>
      <c r="AT12" s="14">
        <f t="shared" si="3"/>
        <v>1579.0572150686105</v>
      </c>
      <c r="AU12" s="14">
        <f t="shared" si="3"/>
        <v>2273.06</v>
      </c>
      <c r="AV12" s="14">
        <f t="shared" si="20"/>
        <v>2775.41</v>
      </c>
      <c r="AW12" s="14">
        <f t="shared" si="23"/>
        <v>340.96</v>
      </c>
      <c r="AX12" s="14">
        <f t="shared" si="24"/>
        <v>227.31</v>
      </c>
      <c r="AY12" s="14">
        <f t="shared" si="9"/>
        <v>34.1</v>
      </c>
      <c r="AZ12" s="14">
        <f t="shared" si="25"/>
        <v>275.04000000000002</v>
      </c>
      <c r="BA12" s="14">
        <f>ROUND(AU12*J5,2)</f>
        <v>0</v>
      </c>
    </row>
    <row r="13" spans="1:54" x14ac:dyDescent="0.25">
      <c r="A13" s="8" t="s">
        <v>17</v>
      </c>
      <c r="B13" s="13">
        <f>B8</f>
        <v>44701</v>
      </c>
      <c r="C13" s="13">
        <f>C8</f>
        <v>45102</v>
      </c>
      <c r="D13" s="9">
        <v>44804</v>
      </c>
      <c r="E13" s="32">
        <v>1300.9899</v>
      </c>
      <c r="F13" s="31">
        <f t="shared" si="10"/>
        <v>1429.3067120547946</v>
      </c>
      <c r="G13" s="32">
        <v>1602.4705188679245</v>
      </c>
      <c r="H13" s="31">
        <f t="shared" si="11"/>
        <v>1760.52</v>
      </c>
      <c r="I13" s="10">
        <v>90</v>
      </c>
      <c r="J13" s="11">
        <f t="shared" ref="J13:J14" si="29">C13-B13</f>
        <v>401</v>
      </c>
      <c r="K13" s="11">
        <f t="shared" si="26"/>
        <v>35</v>
      </c>
      <c r="L13" s="11">
        <f t="shared" si="12"/>
        <v>298</v>
      </c>
      <c r="M13" s="12">
        <f t="shared" si="13"/>
        <v>105.18903301886792</v>
      </c>
      <c r="N13" s="12">
        <f t="shared" si="14"/>
        <v>1062.1780553424658</v>
      </c>
      <c r="O13" s="12">
        <f t="shared" si="4"/>
        <v>138.4233490566038</v>
      </c>
      <c r="P13" s="12">
        <f t="shared" si="15"/>
        <v>1308.318396226415</v>
      </c>
      <c r="Q13" s="14">
        <f>SUM(M9:M13)+N13</f>
        <v>1745.6257892790009</v>
      </c>
      <c r="R13" s="14">
        <f>ROUND(SUM(O9:O13)+P13,2)</f>
        <v>2402.8000000000002</v>
      </c>
      <c r="S13" s="33">
        <f t="shared" si="21"/>
        <v>1760.5224056603772</v>
      </c>
      <c r="T13" s="14">
        <f>ROUND(T12-(G12/365*L13)+P13,2)</f>
        <v>2402.8000000000002</v>
      </c>
      <c r="U13" s="14">
        <f t="shared" si="5"/>
        <v>129.74000000000024</v>
      </c>
      <c r="V13" s="12">
        <f t="shared" si="6"/>
        <v>1956.6205188679246</v>
      </c>
      <c r="W13" s="3">
        <f t="shared" si="0"/>
        <v>2933.8200000000006</v>
      </c>
      <c r="X13" s="3">
        <f t="shared" si="22"/>
        <v>158.41000000000076</v>
      </c>
      <c r="Y13" s="3">
        <f>W13+(I13*K5)+I13</f>
        <v>3032.8200000000006</v>
      </c>
      <c r="Z13" s="3">
        <f t="shared" si="27"/>
        <v>158.41000000000076</v>
      </c>
      <c r="AA13" s="17"/>
      <c r="AB13" s="14">
        <f t="shared" si="7"/>
        <v>0</v>
      </c>
      <c r="AC13" s="14">
        <f t="shared" si="8"/>
        <v>0</v>
      </c>
      <c r="AD13" s="14">
        <f t="shared" si="16"/>
        <v>166.56857421039035</v>
      </c>
      <c r="AE13" s="12">
        <f t="shared" si="28"/>
        <v>129.74000000000024</v>
      </c>
      <c r="AF13" s="12">
        <f t="shared" si="17"/>
        <v>158.41000000000076</v>
      </c>
      <c r="AG13" s="14">
        <f t="shared" si="18"/>
        <v>19.460000000000036</v>
      </c>
      <c r="AH13" s="30">
        <f t="shared" si="18"/>
        <v>12.969999999999999</v>
      </c>
      <c r="AI13" s="30">
        <f t="shared" si="18"/>
        <v>1.9399999999999977</v>
      </c>
      <c r="AJ13" s="14">
        <f t="shared" si="18"/>
        <v>15.699999999999989</v>
      </c>
      <c r="AK13" s="14">
        <f t="shared" si="18"/>
        <v>0</v>
      </c>
      <c r="AL13" s="14">
        <f t="shared" si="1"/>
        <v>1300.9899</v>
      </c>
      <c r="AM13" s="14">
        <f t="shared" si="2"/>
        <v>1602.4705188679245</v>
      </c>
      <c r="AN13" s="14">
        <f t="shared" si="19"/>
        <v>1956.6205188679246</v>
      </c>
      <c r="AO13" s="14">
        <f>ROUND(AM13*M4,2)</f>
        <v>240.37</v>
      </c>
      <c r="AP13" s="14">
        <f>ROUND((AM13+AS13)*K5,2)</f>
        <v>160.25</v>
      </c>
      <c r="AQ13" s="14">
        <f>ROUND(AO13*K5,2)</f>
        <v>24.04</v>
      </c>
      <c r="AR13" s="14">
        <f>ROUND((AM13+AP13+AS13)*L5,2)</f>
        <v>193.9</v>
      </c>
      <c r="AS13" s="14">
        <f>ROUND(AM13*J5,2)</f>
        <v>0</v>
      </c>
      <c r="AT13" s="14">
        <f t="shared" si="3"/>
        <v>1745.6257892790009</v>
      </c>
      <c r="AU13" s="14">
        <f t="shared" si="3"/>
        <v>2402.8000000000002</v>
      </c>
      <c r="AV13" s="14">
        <f t="shared" si="20"/>
        <v>2933.8200000000006</v>
      </c>
      <c r="AW13" s="14">
        <f t="shared" si="23"/>
        <v>360.42</v>
      </c>
      <c r="AX13" s="14">
        <f t="shared" si="24"/>
        <v>240.28</v>
      </c>
      <c r="AY13" s="14">
        <f t="shared" si="9"/>
        <v>36.04</v>
      </c>
      <c r="AZ13" s="14">
        <f t="shared" si="25"/>
        <v>290.74</v>
      </c>
      <c r="BA13" s="14">
        <f>ROUND(AU13*J5,2)</f>
        <v>0</v>
      </c>
    </row>
    <row r="14" spans="1:54" x14ac:dyDescent="0.25">
      <c r="A14" s="8" t="s">
        <v>15</v>
      </c>
      <c r="B14" s="13">
        <f>B8</f>
        <v>44701</v>
      </c>
      <c r="C14" s="13">
        <f>C8</f>
        <v>45102</v>
      </c>
      <c r="D14" s="9">
        <v>44824</v>
      </c>
      <c r="E14" s="32">
        <v>1378.95777</v>
      </c>
      <c r="F14" s="31">
        <f t="shared" si="10"/>
        <v>1514.9645637534247</v>
      </c>
      <c r="G14" s="32">
        <v>1715.6979952830191</v>
      </c>
      <c r="H14" s="31">
        <f t="shared" si="11"/>
        <v>1884.92</v>
      </c>
      <c r="I14" s="10">
        <v>90</v>
      </c>
      <c r="J14" s="11">
        <f t="shared" si="29"/>
        <v>401</v>
      </c>
      <c r="K14" s="11">
        <f t="shared" si="26"/>
        <v>20</v>
      </c>
      <c r="L14" s="11">
        <f t="shared" si="12"/>
        <v>278</v>
      </c>
      <c r="M14" s="12">
        <f t="shared" si="13"/>
        <v>71.287117808219179</v>
      </c>
      <c r="N14" s="12">
        <f t="shared" si="14"/>
        <v>1050.2746850958904</v>
      </c>
      <c r="O14" s="12">
        <f t="shared" si="4"/>
        <v>87.806603773584897</v>
      </c>
      <c r="P14" s="12">
        <f t="shared" si="15"/>
        <v>1306.7508018867925</v>
      </c>
      <c r="Q14" s="14">
        <f>SUM(M9:M14)+N14</f>
        <v>1805.0095368406446</v>
      </c>
      <c r="R14" s="14">
        <f>ROUND(SUM(O9:O14)+P14,2)</f>
        <v>2489.04</v>
      </c>
      <c r="S14" s="33">
        <f t="shared" si="21"/>
        <v>1884.9175235849057</v>
      </c>
      <c r="T14" s="14">
        <f>ROUND(T13-(G13/365*L14)+P14,2)</f>
        <v>2489.04</v>
      </c>
      <c r="U14" s="14">
        <f t="shared" si="5"/>
        <v>86.239999999999782</v>
      </c>
      <c r="V14" s="12">
        <f t="shared" si="6"/>
        <v>2094.8679952830189</v>
      </c>
      <c r="W14" s="3">
        <f>AU14+AX14+AZ14+BA14</f>
        <v>3039.11</v>
      </c>
      <c r="X14" s="3">
        <f t="shared" si="22"/>
        <v>105.28999999999951</v>
      </c>
      <c r="Y14" s="3">
        <f>W14+(I14*K5)+I14</f>
        <v>3138.11</v>
      </c>
      <c r="Z14" s="3">
        <f t="shared" si="27"/>
        <v>105.28999999999951</v>
      </c>
      <c r="AA14" s="17"/>
      <c r="AB14" s="14">
        <f t="shared" si="7"/>
        <v>0</v>
      </c>
      <c r="AC14" s="14">
        <f t="shared" si="8"/>
        <v>0</v>
      </c>
      <c r="AD14" s="14">
        <f t="shared" si="16"/>
        <v>59.383747561643759</v>
      </c>
      <c r="AE14" s="12">
        <f t="shared" si="28"/>
        <v>86.239999999999782</v>
      </c>
      <c r="AF14" s="12">
        <f>X14</f>
        <v>105.28999999999951</v>
      </c>
      <c r="AG14" s="14">
        <f>AW14-AW13</f>
        <v>12.939999999999998</v>
      </c>
      <c r="AH14" s="30">
        <f t="shared" si="18"/>
        <v>8.6200000000000045</v>
      </c>
      <c r="AI14" s="30">
        <f t="shared" si="18"/>
        <v>1.3000000000000043</v>
      </c>
      <c r="AJ14" s="14">
        <f t="shared" si="18"/>
        <v>10.430000000000007</v>
      </c>
      <c r="AK14" s="14">
        <f t="shared" si="18"/>
        <v>0</v>
      </c>
      <c r="AL14" s="14">
        <f t="shared" si="1"/>
        <v>1378.95777</v>
      </c>
      <c r="AM14" s="14">
        <f t="shared" si="2"/>
        <v>1715.6979952830191</v>
      </c>
      <c r="AN14" s="14">
        <f t="shared" si="19"/>
        <v>2094.8679952830189</v>
      </c>
      <c r="AO14" s="14">
        <f>ROUND(AM14*M4,2)</f>
        <v>257.35000000000002</v>
      </c>
      <c r="AP14" s="14">
        <f>ROUND((AM14+AS14)*K5,2)</f>
        <v>171.57</v>
      </c>
      <c r="AQ14" s="14">
        <f>ROUND(AO14*K5,2)</f>
        <v>25.74</v>
      </c>
      <c r="AR14" s="14">
        <f>ROUND((AM14+AP14+AS14)*L5,2)</f>
        <v>207.6</v>
      </c>
      <c r="AS14" s="14">
        <f>ROUND(AM14*J5,2)</f>
        <v>0</v>
      </c>
      <c r="AT14" s="14">
        <f t="shared" si="3"/>
        <v>1805.0095368406446</v>
      </c>
      <c r="AU14" s="14">
        <f t="shared" si="3"/>
        <v>2489.04</v>
      </c>
      <c r="AV14" s="14">
        <f t="shared" si="20"/>
        <v>3039.11</v>
      </c>
      <c r="AW14" s="14">
        <f t="shared" si="23"/>
        <v>373.36</v>
      </c>
      <c r="AX14" s="14">
        <f t="shared" si="24"/>
        <v>248.9</v>
      </c>
      <c r="AY14" s="14">
        <f t="shared" si="9"/>
        <v>37.340000000000003</v>
      </c>
      <c r="AZ14" s="14">
        <f t="shared" si="25"/>
        <v>301.17</v>
      </c>
      <c r="BA14" s="14">
        <f>ROUND(AU14*J5,2)</f>
        <v>0</v>
      </c>
    </row>
    <row r="15" spans="1:54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0"/>
      <c r="K15" s="20"/>
      <c r="L15" s="20"/>
      <c r="M15" s="21"/>
      <c r="N15" s="21"/>
      <c r="O15" s="21"/>
      <c r="P15" s="21"/>
      <c r="Q15" s="22"/>
      <c r="R15" s="22"/>
      <c r="S15" s="22"/>
      <c r="T15" s="22"/>
      <c r="U15" s="22"/>
      <c r="V15" s="21"/>
      <c r="W15" s="23"/>
      <c r="X15" s="23"/>
      <c r="Y15" s="23"/>
      <c r="Z15" s="23"/>
      <c r="AD15" s="22"/>
      <c r="AE15" s="21"/>
      <c r="AF15" s="21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</row>
    <row r="17" spans="1:53" x14ac:dyDescent="0.25">
      <c r="A17" s="28" t="s">
        <v>59</v>
      </c>
      <c r="B17" s="26">
        <f>B8</f>
        <v>44701</v>
      </c>
      <c r="C17" s="26">
        <f>C8</f>
        <v>45102</v>
      </c>
      <c r="D17" s="9">
        <v>44709</v>
      </c>
      <c r="E17" s="9"/>
      <c r="F17" s="27"/>
      <c r="G17" s="27"/>
      <c r="H17" s="16"/>
      <c r="I17" s="16"/>
      <c r="J17" s="11">
        <f>C17-B17</f>
        <v>401</v>
      </c>
      <c r="K17" s="11">
        <f t="shared" ref="K17:K23" si="30">D17-D8</f>
        <v>8</v>
      </c>
      <c r="L17" s="11">
        <f>C17-D17</f>
        <v>393</v>
      </c>
      <c r="M17" s="12">
        <f>F8/J17*K17</f>
        <v>26.0068976989817</v>
      </c>
      <c r="N17" s="12">
        <f t="shared" ref="N17:N22" si="31">F8/J17*L17</f>
        <v>1277.588849462476</v>
      </c>
      <c r="O17" s="12">
        <f>H8/J17*K17</f>
        <v>30.960598503740652</v>
      </c>
      <c r="P17" s="12">
        <f t="shared" ref="P17:P23" si="32">H8/J17*L17</f>
        <v>1520.9394014962595</v>
      </c>
      <c r="Q17" s="14">
        <f>M17</f>
        <v>26.0068976989817</v>
      </c>
      <c r="R17" s="14">
        <f>ROUND(O17,2)</f>
        <v>30.96</v>
      </c>
      <c r="S17" s="14"/>
      <c r="T17" s="14"/>
      <c r="U17" s="14">
        <f t="shared" ref="U17:U23" si="33">R17-R8</f>
        <v>-1520.94</v>
      </c>
      <c r="V17" s="12"/>
      <c r="W17" s="14">
        <f>AU17+AX17+AZ17+BA17</f>
        <v>37.81</v>
      </c>
      <c r="X17" s="3">
        <f>W17-W8</f>
        <v>-1857.0600000000002</v>
      </c>
      <c r="Y17" s="3">
        <f t="shared" ref="Y17:Y23" si="34">W17+I8 +($K$5*I8)</f>
        <v>136.81</v>
      </c>
      <c r="Z17" s="3"/>
      <c r="AA17" s="16"/>
      <c r="AB17" s="16"/>
      <c r="AC17" s="16"/>
      <c r="AD17" s="12">
        <f t="shared" ref="AD17:AD23" si="35">Q17-Q8</f>
        <v>-1277.588849462476</v>
      </c>
      <c r="AE17" s="3">
        <f>U17</f>
        <v>-1520.94</v>
      </c>
      <c r="AF17" s="3">
        <f>X17</f>
        <v>-1857.0600000000002</v>
      </c>
      <c r="AG17" s="3">
        <f>AW17-AW8</f>
        <v>-228.15</v>
      </c>
      <c r="AH17" s="3">
        <f>AX17-AX8</f>
        <v>-152.09</v>
      </c>
      <c r="AI17" s="3">
        <f>AY17-AY8</f>
        <v>-22.82</v>
      </c>
      <c r="AJ17" s="3">
        <f>AZ17-AZ8</f>
        <v>-184.03</v>
      </c>
      <c r="AK17" s="3">
        <f>BA17-BA8</f>
        <v>0</v>
      </c>
      <c r="AL17" s="16"/>
      <c r="AM17" s="16"/>
      <c r="AN17" s="16"/>
      <c r="AO17" s="16"/>
      <c r="AP17" s="16"/>
      <c r="AQ17" s="16"/>
      <c r="AR17" s="16"/>
      <c r="AS17" s="16"/>
      <c r="AT17" s="14">
        <f t="shared" ref="AT17:AU23" si="36">Q17</f>
        <v>26.0068976989817</v>
      </c>
      <c r="AU17" s="12">
        <f t="shared" si="36"/>
        <v>30.96</v>
      </c>
      <c r="AV17" s="14">
        <f>W17</f>
        <v>37.81</v>
      </c>
      <c r="AW17" s="14">
        <f>ROUND(AU17*$M$4,2)</f>
        <v>4.6399999999999997</v>
      </c>
      <c r="AX17" s="24">
        <f>ROUND((AU17+BA17)*$K$5,2)</f>
        <v>3.1</v>
      </c>
      <c r="AY17" s="14">
        <f>ROUND(AW17*$K$5,2)</f>
        <v>0.46</v>
      </c>
      <c r="AZ17" s="24">
        <f>ROUND((AU17+AX17+BA17)*$L$5,2)</f>
        <v>3.75</v>
      </c>
      <c r="BA17" s="14">
        <f>ROUND(AU17*$J$5,2)</f>
        <v>0</v>
      </c>
    </row>
    <row r="18" spans="1:53" x14ac:dyDescent="0.25">
      <c r="A18" s="19" t="s">
        <v>53</v>
      </c>
      <c r="B18" s="26">
        <f>B8</f>
        <v>44701</v>
      </c>
      <c r="C18" s="26">
        <f>C8</f>
        <v>45102</v>
      </c>
      <c r="D18" s="9">
        <v>44678</v>
      </c>
      <c r="E18" s="9"/>
      <c r="F18" s="12"/>
      <c r="G18" s="12"/>
      <c r="H18" s="12"/>
      <c r="I18" s="12"/>
      <c r="J18" s="11">
        <f>C18-B18</f>
        <v>401</v>
      </c>
      <c r="K18" s="11">
        <f t="shared" si="30"/>
        <v>17</v>
      </c>
      <c r="L18" s="11">
        <f>C18-D18</f>
        <v>424</v>
      </c>
      <c r="M18" s="12">
        <f t="shared" ref="M18:M22" si="37">F9/J18*K18</f>
        <v>77.914085453454931</v>
      </c>
      <c r="N18" s="12">
        <f t="shared" si="31"/>
        <v>1943.2689548391111</v>
      </c>
      <c r="O18" s="12">
        <f t="shared" ref="O18:O23" si="38">H9/J18*K18</f>
        <v>92.754713216957612</v>
      </c>
      <c r="P18" s="12">
        <f t="shared" si="32"/>
        <v>2313.4116708229426</v>
      </c>
      <c r="Q18" s="14">
        <f>M9+M18</f>
        <v>-52.120403041453557</v>
      </c>
      <c r="R18" s="14">
        <f>ROUND(O9+O18,2)</f>
        <v>-62.05</v>
      </c>
      <c r="S18" s="14"/>
      <c r="T18" s="14"/>
      <c r="U18" s="14">
        <f t="shared" si="33"/>
        <v>-2313.42</v>
      </c>
      <c r="V18" s="12"/>
      <c r="W18" s="14">
        <f t="shared" ref="W18:W23" si="39">AU18+AX18+AZ18+BA18</f>
        <v>-75.77</v>
      </c>
      <c r="X18" s="3">
        <f>W18-W9</f>
        <v>-2824.7</v>
      </c>
      <c r="Y18" s="3">
        <f t="shared" si="34"/>
        <v>23.230000000000011</v>
      </c>
      <c r="Z18" s="3"/>
      <c r="AA18" s="17"/>
      <c r="AB18" s="17"/>
      <c r="AC18" s="17"/>
      <c r="AD18" s="12">
        <f t="shared" si="35"/>
        <v>-1943.2689548391111</v>
      </c>
      <c r="AE18" s="3">
        <f>U18</f>
        <v>-2313.42</v>
      </c>
      <c r="AF18" s="3">
        <f>X18</f>
        <v>-2824.7</v>
      </c>
      <c r="AG18" s="3">
        <f>AW18-AW9</f>
        <v>-347.02</v>
      </c>
      <c r="AH18" s="3">
        <f>AX18-AX9</f>
        <v>-231.35</v>
      </c>
      <c r="AI18" s="3">
        <f t="shared" ref="AI18:AK23" si="40">AY18-AY9</f>
        <v>-34.700000000000003</v>
      </c>
      <c r="AJ18" s="3">
        <f t="shared" si="40"/>
        <v>-279.93</v>
      </c>
      <c r="AK18" s="3">
        <f t="shared" si="40"/>
        <v>0</v>
      </c>
      <c r="AL18" s="14"/>
      <c r="AM18" s="14"/>
      <c r="AN18" s="14"/>
      <c r="AO18" s="14"/>
      <c r="AP18" s="14"/>
      <c r="AQ18" s="14"/>
      <c r="AR18" s="14"/>
      <c r="AS18" s="14"/>
      <c r="AT18" s="14">
        <f t="shared" si="36"/>
        <v>-52.120403041453557</v>
      </c>
      <c r="AU18" s="12">
        <f t="shared" si="36"/>
        <v>-62.05</v>
      </c>
      <c r="AV18" s="14">
        <f>W18</f>
        <v>-75.77</v>
      </c>
      <c r="AW18" s="14">
        <f t="shared" ref="AW18:AW23" si="41">ROUND(AU18*$M$4,2)</f>
        <v>-9.31</v>
      </c>
      <c r="AX18" s="24">
        <f t="shared" ref="AX18:AX23" si="42">ROUND((AU18+BA18)*$K$5,2)</f>
        <v>-6.21</v>
      </c>
      <c r="AY18" s="14">
        <f t="shared" ref="AY18:AY23" si="43">ROUND(AW18*$K$5,2)</f>
        <v>-0.93</v>
      </c>
      <c r="AZ18" s="24">
        <f t="shared" ref="AZ18:AZ23" si="44">ROUND((AU18+AX18+BA18)*$L$5,2)</f>
        <v>-7.51</v>
      </c>
      <c r="BA18" s="14">
        <f t="shared" ref="BA18:BA23" si="45">ROUND(AU18*$J$5,2)</f>
        <v>0</v>
      </c>
    </row>
    <row r="19" spans="1:53" x14ac:dyDescent="0.25">
      <c r="A19" s="19" t="s">
        <v>52</v>
      </c>
      <c r="B19" s="26">
        <f>B8</f>
        <v>44701</v>
      </c>
      <c r="C19" s="26">
        <f>C8</f>
        <v>45102</v>
      </c>
      <c r="D19" s="9">
        <v>44854</v>
      </c>
      <c r="E19" s="9"/>
      <c r="F19" s="16"/>
      <c r="G19" s="16"/>
      <c r="H19" s="16"/>
      <c r="I19" s="16"/>
      <c r="J19" s="11">
        <f t="shared" ref="J19:J23" si="46">C19-B19</f>
        <v>401</v>
      </c>
      <c r="K19" s="11">
        <f t="shared" si="30"/>
        <v>188</v>
      </c>
      <c r="L19" s="11">
        <f>C19-D19</f>
        <v>248</v>
      </c>
      <c r="M19" s="12">
        <f t="shared" si="37"/>
        <v>951.0731945389914</v>
      </c>
      <c r="N19" s="12">
        <f t="shared" si="31"/>
        <v>1254.6071927961164</v>
      </c>
      <c r="O19" s="12">
        <f t="shared" si="38"/>
        <v>1132.2288279301745</v>
      </c>
      <c r="P19" s="12">
        <f t="shared" si="32"/>
        <v>1493.5784538653365</v>
      </c>
      <c r="Q19" s="14">
        <f>M9+M10+M19</f>
        <v>843.9546135303932</v>
      </c>
      <c r="R19" s="14">
        <f>ROUND(O9+O10+O19,2)</f>
        <v>1004.71</v>
      </c>
      <c r="S19" s="14"/>
      <c r="T19" s="14"/>
      <c r="U19" s="14">
        <f t="shared" si="33"/>
        <v>-1493.58</v>
      </c>
      <c r="V19" s="12"/>
      <c r="W19" s="14">
        <f t="shared" si="39"/>
        <v>1226.75</v>
      </c>
      <c r="X19" s="3">
        <f>W19-W10</f>
        <v>-1823.6599999999999</v>
      </c>
      <c r="Y19" s="3">
        <f t="shared" si="34"/>
        <v>1325.75</v>
      </c>
      <c r="Z19" s="3"/>
      <c r="AA19" s="17"/>
      <c r="AB19" s="17"/>
      <c r="AC19" s="17"/>
      <c r="AD19" s="12">
        <f t="shared" si="35"/>
        <v>-1254.6071927961166</v>
      </c>
      <c r="AE19" s="3">
        <f>U19</f>
        <v>-1493.58</v>
      </c>
      <c r="AF19" s="3">
        <f t="shared" ref="AF19:AF23" si="47">X19</f>
        <v>-1823.6599999999999</v>
      </c>
      <c r="AG19" s="3">
        <f t="shared" ref="AG19:AG23" si="48">AW19-AW10</f>
        <v>-224.03</v>
      </c>
      <c r="AH19" s="3">
        <f>AX19-AX10</f>
        <v>-149.36000000000001</v>
      </c>
      <c r="AI19" s="3">
        <f t="shared" si="40"/>
        <v>-22.4</v>
      </c>
      <c r="AJ19" s="3">
        <f t="shared" si="40"/>
        <v>-180.72000000000003</v>
      </c>
      <c r="AK19" s="3">
        <f t="shared" si="40"/>
        <v>0</v>
      </c>
      <c r="AL19" s="12"/>
      <c r="AM19" s="12"/>
      <c r="AN19" s="12"/>
      <c r="AO19" s="12"/>
      <c r="AP19" s="12"/>
      <c r="AQ19" s="12"/>
      <c r="AR19" s="12"/>
      <c r="AS19" s="12"/>
      <c r="AT19" s="14">
        <f t="shared" si="36"/>
        <v>843.9546135303932</v>
      </c>
      <c r="AU19" s="12">
        <f t="shared" si="36"/>
        <v>1004.71</v>
      </c>
      <c r="AV19" s="14">
        <f t="shared" ref="AV19:AV23" si="49">W19</f>
        <v>1226.75</v>
      </c>
      <c r="AW19" s="14">
        <f t="shared" si="41"/>
        <v>150.71</v>
      </c>
      <c r="AX19" s="24">
        <f t="shared" si="42"/>
        <v>100.47</v>
      </c>
      <c r="AY19" s="14">
        <f t="shared" si="43"/>
        <v>15.07</v>
      </c>
      <c r="AZ19" s="24">
        <f t="shared" si="44"/>
        <v>121.57</v>
      </c>
      <c r="BA19" s="14">
        <f t="shared" si="45"/>
        <v>0</v>
      </c>
    </row>
    <row r="20" spans="1:53" x14ac:dyDescent="0.25">
      <c r="A20" s="19" t="s">
        <v>54</v>
      </c>
      <c r="B20" s="26">
        <f>B8</f>
        <v>44701</v>
      </c>
      <c r="C20" s="26">
        <f>C8</f>
        <v>45102</v>
      </c>
      <c r="D20" s="9">
        <v>44854</v>
      </c>
      <c r="E20" s="9"/>
      <c r="F20" s="27"/>
      <c r="G20" s="27"/>
      <c r="H20" s="16"/>
      <c r="I20" s="16"/>
      <c r="J20" s="11">
        <f t="shared" si="46"/>
        <v>401</v>
      </c>
      <c r="K20" s="11">
        <f t="shared" si="30"/>
        <v>-12</v>
      </c>
      <c r="L20" s="11">
        <f t="shared" ref="L20:L22" si="50">C20-D20</f>
        <v>248</v>
      </c>
      <c r="M20" s="12">
        <f t="shared" si="37"/>
        <v>-40.37971698113207</v>
      </c>
      <c r="N20" s="12">
        <f t="shared" si="31"/>
        <v>834.5141509433962</v>
      </c>
      <c r="O20" s="12">
        <f t="shared" si="38"/>
        <v>-14.959002493765587</v>
      </c>
      <c r="P20" s="12">
        <f t="shared" si="32"/>
        <v>309.15271820448879</v>
      </c>
      <c r="Q20" s="14">
        <f>M9+M10+M11+M20</f>
        <v>864.28169620068604</v>
      </c>
      <c r="R20" s="14">
        <f>ROUND(O9+O10+O11+O20,2)</f>
        <v>1062.02</v>
      </c>
      <c r="S20" s="14"/>
      <c r="T20" s="14"/>
      <c r="U20" s="14">
        <f t="shared" si="33"/>
        <v>-309.15000000000009</v>
      </c>
      <c r="V20" s="16"/>
      <c r="W20" s="14">
        <f t="shared" si="39"/>
        <v>1296.72</v>
      </c>
      <c r="X20" s="3">
        <f>W20-W11</f>
        <v>-377.48</v>
      </c>
      <c r="Y20" s="3">
        <f t="shared" si="34"/>
        <v>1395.72</v>
      </c>
      <c r="Z20" s="3"/>
      <c r="AA20" s="17"/>
      <c r="AB20" s="17"/>
      <c r="AC20" s="17"/>
      <c r="AD20" s="12">
        <f t="shared" si="35"/>
        <v>-834.51415094339643</v>
      </c>
      <c r="AE20" s="3">
        <f t="shared" ref="AE20:AE23" si="51">U20</f>
        <v>-309.15000000000009</v>
      </c>
      <c r="AF20" s="3">
        <f t="shared" si="47"/>
        <v>-377.48</v>
      </c>
      <c r="AG20" s="3">
        <f t="shared" si="48"/>
        <v>-46.379999999999995</v>
      </c>
      <c r="AH20" s="3">
        <f>AX20-AX11</f>
        <v>-30.92</v>
      </c>
      <c r="AI20" s="3">
        <f t="shared" si="40"/>
        <v>-4.6400000000000006</v>
      </c>
      <c r="AJ20" s="3">
        <f t="shared" si="40"/>
        <v>-37.409999999999997</v>
      </c>
      <c r="AK20" s="3">
        <f t="shared" si="40"/>
        <v>0</v>
      </c>
      <c r="AL20" s="12"/>
      <c r="AM20" s="12"/>
      <c r="AN20" s="12"/>
      <c r="AO20" s="12"/>
      <c r="AP20" s="12"/>
      <c r="AQ20" s="12"/>
      <c r="AR20" s="12"/>
      <c r="AS20" s="12"/>
      <c r="AT20" s="14">
        <f t="shared" si="36"/>
        <v>864.28169620068604</v>
      </c>
      <c r="AU20" s="12">
        <f t="shared" si="36"/>
        <v>1062.02</v>
      </c>
      <c r="AV20" s="14">
        <f t="shared" si="49"/>
        <v>1296.72</v>
      </c>
      <c r="AW20" s="14">
        <f t="shared" si="41"/>
        <v>159.30000000000001</v>
      </c>
      <c r="AX20" s="24">
        <f t="shared" si="42"/>
        <v>106.2</v>
      </c>
      <c r="AY20" s="14">
        <f t="shared" si="43"/>
        <v>15.93</v>
      </c>
      <c r="AZ20" s="24">
        <f t="shared" si="44"/>
        <v>128.5</v>
      </c>
      <c r="BA20" s="14">
        <f t="shared" si="45"/>
        <v>0</v>
      </c>
    </row>
    <row r="21" spans="1:53" x14ac:dyDescent="0.25">
      <c r="A21" s="19" t="s">
        <v>55</v>
      </c>
      <c r="B21" s="26">
        <f>B8</f>
        <v>44701</v>
      </c>
      <c r="C21" s="26">
        <f>C8</f>
        <v>45102</v>
      </c>
      <c r="D21" s="9">
        <v>44854</v>
      </c>
      <c r="E21" s="9"/>
      <c r="F21" s="27"/>
      <c r="G21" s="27"/>
      <c r="H21" s="16"/>
      <c r="I21" s="16"/>
      <c r="J21" s="11">
        <f t="shared" si="46"/>
        <v>401</v>
      </c>
      <c r="K21" s="11">
        <f t="shared" si="30"/>
        <v>85</v>
      </c>
      <c r="L21" s="11">
        <f t="shared" si="50"/>
        <v>248</v>
      </c>
      <c r="M21" s="12">
        <f t="shared" si="37"/>
        <v>255.45908018867922</v>
      </c>
      <c r="N21" s="12">
        <f t="shared" si="31"/>
        <v>745.33943396226414</v>
      </c>
      <c r="O21" s="12">
        <f t="shared" si="38"/>
        <v>336.17182044887784</v>
      </c>
      <c r="P21" s="12">
        <f t="shared" si="32"/>
        <v>980.83072319201995</v>
      </c>
      <c r="Q21" s="14">
        <f>M9+M10+M11+M12+M21</f>
        <v>833.71778110634637</v>
      </c>
      <c r="R21" s="14">
        <f>ROUND(O9+O10+O11+O12+O21,2)</f>
        <v>1292.23</v>
      </c>
      <c r="S21" s="14"/>
      <c r="T21" s="14"/>
      <c r="U21" s="14">
        <f t="shared" si="33"/>
        <v>-980.82999999999993</v>
      </c>
      <c r="V21" s="16"/>
      <c r="W21" s="14">
        <f t="shared" si="39"/>
        <v>1577.81</v>
      </c>
      <c r="X21" s="3">
        <f t="shared" ref="X21:X23" si="52">W21-W12</f>
        <v>-1197.5999999999999</v>
      </c>
      <c r="Y21" s="3">
        <f t="shared" si="34"/>
        <v>1676.81</v>
      </c>
      <c r="Z21" s="3"/>
      <c r="AA21" s="17"/>
      <c r="AB21" s="17"/>
      <c r="AC21" s="17"/>
      <c r="AD21" s="12">
        <f t="shared" si="35"/>
        <v>-745.33943396226414</v>
      </c>
      <c r="AE21" s="3">
        <f t="shared" si="51"/>
        <v>-980.82999999999993</v>
      </c>
      <c r="AF21" s="3">
        <f t="shared" si="47"/>
        <v>-1197.5999999999999</v>
      </c>
      <c r="AG21" s="3">
        <f t="shared" si="48"/>
        <v>-147.12999999999997</v>
      </c>
      <c r="AH21" s="3">
        <f>AX21-AX12</f>
        <v>-98.09</v>
      </c>
      <c r="AI21" s="3">
        <f t="shared" si="40"/>
        <v>-14.720000000000002</v>
      </c>
      <c r="AJ21" s="3">
        <f t="shared" si="40"/>
        <v>-118.68</v>
      </c>
      <c r="AK21" s="3">
        <f t="shared" si="40"/>
        <v>0</v>
      </c>
      <c r="AL21" s="12"/>
      <c r="AM21" s="12"/>
      <c r="AN21" s="12"/>
      <c r="AO21" s="12"/>
      <c r="AP21" s="12"/>
      <c r="AQ21" s="12"/>
      <c r="AR21" s="12"/>
      <c r="AS21" s="12"/>
      <c r="AT21" s="14">
        <f t="shared" si="36"/>
        <v>833.71778110634637</v>
      </c>
      <c r="AU21" s="12">
        <f t="shared" si="36"/>
        <v>1292.23</v>
      </c>
      <c r="AV21" s="14">
        <f t="shared" si="49"/>
        <v>1577.81</v>
      </c>
      <c r="AW21" s="14">
        <f t="shared" si="41"/>
        <v>193.83</v>
      </c>
      <c r="AX21" s="24">
        <f t="shared" si="42"/>
        <v>129.22</v>
      </c>
      <c r="AY21" s="14">
        <f t="shared" si="43"/>
        <v>19.38</v>
      </c>
      <c r="AZ21" s="24">
        <f t="shared" si="44"/>
        <v>156.36000000000001</v>
      </c>
      <c r="BA21" s="14">
        <f t="shared" si="45"/>
        <v>0</v>
      </c>
    </row>
    <row r="22" spans="1:53" x14ac:dyDescent="0.25">
      <c r="A22" s="19" t="s">
        <v>56</v>
      </c>
      <c r="B22" s="26">
        <f>B8</f>
        <v>44701</v>
      </c>
      <c r="C22" s="26">
        <f>C8</f>
        <v>45102</v>
      </c>
      <c r="D22" s="9">
        <v>44854</v>
      </c>
      <c r="E22" s="9"/>
      <c r="F22" s="27"/>
      <c r="G22" s="27"/>
      <c r="H22" s="16"/>
      <c r="I22" s="16"/>
      <c r="J22" s="11">
        <f t="shared" si="46"/>
        <v>401</v>
      </c>
      <c r="K22" s="11">
        <f t="shared" si="30"/>
        <v>50</v>
      </c>
      <c r="L22" s="11">
        <f t="shared" si="50"/>
        <v>248</v>
      </c>
      <c r="M22" s="12">
        <f t="shared" si="37"/>
        <v>178.21779452054795</v>
      </c>
      <c r="N22" s="12">
        <f t="shared" si="31"/>
        <v>883.96026082191781</v>
      </c>
      <c r="O22" s="12">
        <f t="shared" si="38"/>
        <v>219.51620947630923</v>
      </c>
      <c r="P22" s="12">
        <f t="shared" si="32"/>
        <v>1088.8003990024938</v>
      </c>
      <c r="Q22" s="14">
        <f>M9+M10+M11+M12+M13+M22</f>
        <v>861.66552845708304</v>
      </c>
      <c r="R22" s="14">
        <f>ROUND(O9+O10+O11+O12+O13+O22,2)</f>
        <v>1314</v>
      </c>
      <c r="S22" s="14"/>
      <c r="T22" s="14"/>
      <c r="U22" s="14">
        <f t="shared" si="33"/>
        <v>-1088.8000000000002</v>
      </c>
      <c r="V22" s="16"/>
      <c r="W22" s="14">
        <f t="shared" si="39"/>
        <v>1604.39</v>
      </c>
      <c r="X22" s="3">
        <f t="shared" si="52"/>
        <v>-1329.4300000000005</v>
      </c>
      <c r="Y22" s="3">
        <f t="shared" si="34"/>
        <v>1703.39</v>
      </c>
      <c r="Z22" s="3"/>
      <c r="AA22" s="17"/>
      <c r="AB22" s="17"/>
      <c r="AC22" s="17"/>
      <c r="AD22" s="12">
        <f t="shared" si="35"/>
        <v>-883.96026082191781</v>
      </c>
      <c r="AE22" s="3">
        <f t="shared" si="51"/>
        <v>-1088.8000000000002</v>
      </c>
      <c r="AF22" s="3">
        <f t="shared" si="47"/>
        <v>-1329.4300000000005</v>
      </c>
      <c r="AG22" s="3">
        <f>AW22-AW13</f>
        <v>-163.32000000000002</v>
      </c>
      <c r="AH22" s="3">
        <f>AX22-AX13</f>
        <v>-108.88</v>
      </c>
      <c r="AI22" s="3">
        <f>AY22-AY13</f>
        <v>-16.329999999999998</v>
      </c>
      <c r="AJ22" s="3">
        <f>AZ22-AZ13</f>
        <v>-131.75</v>
      </c>
      <c r="AK22" s="3">
        <f>BA22-BA13</f>
        <v>0</v>
      </c>
      <c r="AL22" s="12"/>
      <c r="AM22" s="12"/>
      <c r="AN22" s="12"/>
      <c r="AO22" s="12"/>
      <c r="AP22" s="12"/>
      <c r="AQ22" s="12"/>
      <c r="AR22" s="12"/>
      <c r="AS22" s="12"/>
      <c r="AT22" s="14">
        <f t="shared" si="36"/>
        <v>861.66552845708304</v>
      </c>
      <c r="AU22" s="12">
        <f t="shared" si="36"/>
        <v>1314</v>
      </c>
      <c r="AV22" s="14">
        <f t="shared" si="49"/>
        <v>1604.39</v>
      </c>
      <c r="AW22" s="14">
        <f t="shared" si="41"/>
        <v>197.1</v>
      </c>
      <c r="AX22" s="24">
        <f t="shared" si="42"/>
        <v>131.4</v>
      </c>
      <c r="AY22" s="14">
        <f t="shared" si="43"/>
        <v>19.71</v>
      </c>
      <c r="AZ22" s="24">
        <f t="shared" si="44"/>
        <v>158.99</v>
      </c>
      <c r="BA22" s="14">
        <f t="shared" si="45"/>
        <v>0</v>
      </c>
    </row>
    <row r="23" spans="1:53" x14ac:dyDescent="0.25">
      <c r="A23" s="19" t="s">
        <v>57</v>
      </c>
      <c r="B23" s="26">
        <f>B8</f>
        <v>44701</v>
      </c>
      <c r="C23" s="26">
        <f>C8</f>
        <v>45102</v>
      </c>
      <c r="D23" s="9">
        <v>44854</v>
      </c>
      <c r="E23" s="9"/>
      <c r="F23" s="27"/>
      <c r="G23" s="27"/>
      <c r="H23" s="16"/>
      <c r="I23" s="16"/>
      <c r="J23" s="11">
        <f t="shared" si="46"/>
        <v>401</v>
      </c>
      <c r="K23" s="11">
        <f t="shared" si="30"/>
        <v>30</v>
      </c>
      <c r="L23" s="11">
        <f>C23-D23</f>
        <v>248</v>
      </c>
      <c r="M23" s="12">
        <f>F14/J23*K23</f>
        <v>113.33899479452054</v>
      </c>
      <c r="N23" s="12">
        <f>F14/J23*L23</f>
        <v>936.93569030136985</v>
      </c>
      <c r="O23" s="12">
        <f t="shared" si="38"/>
        <v>141.01645885286783</v>
      </c>
      <c r="P23" s="12">
        <f t="shared" si="32"/>
        <v>1165.7360598503742</v>
      </c>
      <c r="Q23" s="14">
        <f>M9+M10+M11+M12+M13+M14+M23</f>
        <v>868.07384653927477</v>
      </c>
      <c r="R23" s="14">
        <f>ROUND(O9+O10+O11+O12+O13+O14+O23,2)</f>
        <v>1323.31</v>
      </c>
      <c r="S23" s="14"/>
      <c r="T23" s="14"/>
      <c r="U23" s="14">
        <f t="shared" si="33"/>
        <v>-1165.73</v>
      </c>
      <c r="V23" s="16"/>
      <c r="W23" s="14">
        <f t="shared" si="39"/>
        <v>1615.7599999999998</v>
      </c>
      <c r="X23" s="3">
        <f t="shared" si="52"/>
        <v>-1423.3500000000004</v>
      </c>
      <c r="Y23" s="3">
        <f t="shared" si="34"/>
        <v>1714.7599999999998</v>
      </c>
      <c r="Z23" s="3"/>
      <c r="AA23" s="17"/>
      <c r="AB23" s="17"/>
      <c r="AC23" s="17"/>
      <c r="AD23" s="12">
        <f t="shared" si="35"/>
        <v>-936.93569030136985</v>
      </c>
      <c r="AE23" s="3">
        <f t="shared" si="51"/>
        <v>-1165.73</v>
      </c>
      <c r="AF23" s="3">
        <f t="shared" si="47"/>
        <v>-1423.3500000000004</v>
      </c>
      <c r="AG23" s="3">
        <f t="shared" si="48"/>
        <v>-174.86</v>
      </c>
      <c r="AH23" s="3">
        <f>AX23-AX14</f>
        <v>-116.57</v>
      </c>
      <c r="AI23" s="3">
        <f t="shared" si="40"/>
        <v>-17.490000000000002</v>
      </c>
      <c r="AJ23" s="3">
        <f>AZ23-AZ14</f>
        <v>-141.05000000000001</v>
      </c>
      <c r="AK23" s="3">
        <f t="shared" si="40"/>
        <v>0</v>
      </c>
      <c r="AL23" s="12"/>
      <c r="AM23" s="12"/>
      <c r="AN23" s="12"/>
      <c r="AO23" s="12"/>
      <c r="AP23" s="12"/>
      <c r="AQ23" s="12"/>
      <c r="AR23" s="12"/>
      <c r="AS23" s="12"/>
      <c r="AT23" s="14">
        <f t="shared" si="36"/>
        <v>868.07384653927477</v>
      </c>
      <c r="AU23" s="12">
        <f t="shared" si="36"/>
        <v>1323.31</v>
      </c>
      <c r="AV23" s="14">
        <f t="shared" si="49"/>
        <v>1615.7599999999998</v>
      </c>
      <c r="AW23" s="14">
        <f t="shared" si="41"/>
        <v>198.5</v>
      </c>
      <c r="AX23" s="24">
        <f t="shared" si="42"/>
        <v>132.33000000000001</v>
      </c>
      <c r="AY23" s="14">
        <f t="shared" si="43"/>
        <v>19.850000000000001</v>
      </c>
      <c r="AZ23" s="24">
        <f t="shared" si="44"/>
        <v>160.12</v>
      </c>
      <c r="BA23" s="14">
        <f t="shared" si="45"/>
        <v>0</v>
      </c>
    </row>
    <row r="25" spans="1:53" x14ac:dyDescent="0.25">
      <c r="AD25" s="1">
        <v>32.389963636296329</v>
      </c>
      <c r="AE25" s="1">
        <v>38.56</v>
      </c>
      <c r="AF25" s="1">
        <v>47.090000000000146</v>
      </c>
      <c r="AG25" s="1">
        <v>5.7800000000000011</v>
      </c>
      <c r="AH25" s="1">
        <v>3.8599999999999994</v>
      </c>
      <c r="AI25" s="1">
        <v>0.57999999999999918</v>
      </c>
      <c r="AJ25" s="1">
        <v>4.6700000000000017</v>
      </c>
      <c r="AK25" s="1">
        <v>0</v>
      </c>
    </row>
    <row r="27" spans="1:53" x14ac:dyDescent="0.25">
      <c r="AD27" s="1">
        <f>AD25+AD17</f>
        <v>-1245.1988858261798</v>
      </c>
      <c r="AE27" s="1">
        <f t="shared" ref="AE27:AK27" si="53">AE25+AE17</f>
        <v>-1482.38</v>
      </c>
      <c r="AF27" s="1">
        <f>AF25+AF17</f>
        <v>-1809.97</v>
      </c>
      <c r="AG27" s="1">
        <f t="shared" si="53"/>
        <v>-222.37</v>
      </c>
      <c r="AH27" s="1">
        <f t="shared" si="53"/>
        <v>-148.23000000000002</v>
      </c>
      <c r="AI27" s="1">
        <f t="shared" si="53"/>
        <v>-22.240000000000002</v>
      </c>
      <c r="AJ27" s="1">
        <f t="shared" si="53"/>
        <v>-179.36</v>
      </c>
      <c r="AK27" s="1">
        <f t="shared" si="53"/>
        <v>0</v>
      </c>
    </row>
  </sheetData>
  <mergeCells count="3">
    <mergeCell ref="K1:L1"/>
    <mergeCell ref="K2:L2"/>
    <mergeCell ref="AL6:AS6"/>
  </mergeCells>
  <conditionalFormatting sqref="T8:T14">
    <cfRule type="expression" dxfId="2" priority="1">
      <formula>R8&lt;&gt;T8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1A313-C207-4CDF-B4CD-FC99C31DCF2C}">
  <dimension ref="A1:BB27"/>
  <sheetViews>
    <sheetView workbookViewId="0">
      <selection activeCell="E8" sqref="E8"/>
    </sheetView>
  </sheetViews>
  <sheetFormatPr defaultRowHeight="15" x14ac:dyDescent="0.25"/>
  <cols>
    <col min="1" max="1" width="17" bestFit="1" customWidth="1"/>
    <col min="2" max="2" width="10.140625" bestFit="1" customWidth="1"/>
    <col min="3" max="4" width="11" bestFit="1" customWidth="1"/>
    <col min="5" max="5" width="22.28515625" bestFit="1" customWidth="1"/>
    <col min="6" max="6" width="13.28515625" bestFit="1" customWidth="1"/>
    <col min="7" max="7" width="16" bestFit="1" customWidth="1"/>
    <col min="8" max="8" width="16" style="1" bestFit="1" customWidth="1"/>
    <col min="9" max="9" width="6.42578125" style="1" bestFit="1" customWidth="1"/>
    <col min="10" max="10" width="12.5703125" style="1" bestFit="1" customWidth="1"/>
    <col min="11" max="11" width="10.42578125" style="1" bestFit="1" customWidth="1"/>
    <col min="12" max="12" width="15.140625" style="1" bestFit="1" customWidth="1"/>
    <col min="13" max="13" width="11.85546875" style="1" bestFit="1" customWidth="1"/>
    <col min="14" max="14" width="10.28515625" style="1" customWidth="1"/>
    <col min="15" max="15" width="9.7109375" style="1" bestFit="1" customWidth="1"/>
    <col min="16" max="18" width="11.7109375" style="1" bestFit="1" customWidth="1"/>
    <col min="19" max="19" width="16" style="1" bestFit="1" customWidth="1"/>
    <col min="20" max="20" width="15.7109375" style="1" customWidth="1"/>
    <col min="21" max="21" width="8.42578125" style="1" bestFit="1" customWidth="1"/>
    <col min="22" max="22" width="9.42578125" style="1" bestFit="1" customWidth="1"/>
    <col min="23" max="24" width="8.42578125" style="1" bestFit="1" customWidth="1"/>
    <col min="25" max="26" width="8.42578125" style="1" customWidth="1"/>
    <col min="27" max="27" width="3.85546875" style="1" customWidth="1"/>
    <col min="28" max="28" width="8.28515625" style="1" bestFit="1" customWidth="1"/>
    <col min="29" max="29" width="8.28515625" style="1" customWidth="1"/>
    <col min="30" max="30" width="9.140625" style="1"/>
    <col min="31" max="31" width="10" style="1" bestFit="1" customWidth="1"/>
    <col min="32" max="32" width="9.140625" style="1"/>
    <col min="33" max="33" width="11.85546875" style="1" bestFit="1" customWidth="1"/>
    <col min="34" max="34" width="7.42578125" style="1" bestFit="1" customWidth="1"/>
    <col min="35" max="35" width="11.85546875" style="1" bestFit="1" customWidth="1"/>
    <col min="36" max="36" width="9.5703125" style="1" bestFit="1" customWidth="1"/>
    <col min="37" max="37" width="6.85546875" style="1" bestFit="1" customWidth="1"/>
    <col min="38" max="38" width="9.140625" style="1"/>
    <col min="39" max="39" width="9.85546875" style="1" bestFit="1" customWidth="1"/>
    <col min="40" max="40" width="10.7109375" style="1" bestFit="1" customWidth="1"/>
    <col min="41" max="41" width="11.85546875" style="1" bestFit="1" customWidth="1"/>
    <col min="42" max="42" width="8.7109375" style="1" bestFit="1" customWidth="1"/>
    <col min="43" max="43" width="11.85546875" style="1" customWidth="1"/>
    <col min="44" max="45" width="9.7109375" style="1" bestFit="1" customWidth="1"/>
    <col min="46" max="46" width="9.140625" style="1"/>
    <col min="47" max="47" width="10" style="1" bestFit="1" customWidth="1"/>
    <col min="48" max="48" width="10.7109375" style="1" bestFit="1" customWidth="1"/>
    <col min="49" max="49" width="11.85546875" style="1" bestFit="1" customWidth="1"/>
    <col min="50" max="50" width="8.7109375" style="1" bestFit="1" customWidth="1"/>
    <col min="51" max="51" width="11.85546875" style="1" bestFit="1" customWidth="1"/>
    <col min="52" max="52" width="9.140625" style="1"/>
    <col min="53" max="53" width="6.5703125" style="1" bestFit="1" customWidth="1"/>
    <col min="54" max="54" width="13.28515625" style="1" bestFit="1" customWidth="1"/>
    <col min="55" max="57" width="14.85546875" customWidth="1"/>
    <col min="58" max="58" width="5.140625" bestFit="1" customWidth="1"/>
    <col min="59" max="59" width="8.140625" bestFit="1" customWidth="1"/>
  </cols>
  <sheetData>
    <row r="1" spans="1:54" x14ac:dyDescent="0.25">
      <c r="K1" s="37"/>
      <c r="L1" s="37"/>
    </row>
    <row r="2" spans="1:54" x14ac:dyDescent="0.25">
      <c r="K2" s="38"/>
      <c r="L2" s="38"/>
    </row>
    <row r="3" spans="1:54" ht="30" customHeight="1" x14ac:dyDescent="0.25">
      <c r="J3" s="6" t="s">
        <v>1</v>
      </c>
      <c r="K3" s="6" t="s">
        <v>2</v>
      </c>
      <c r="L3" s="6" t="s">
        <v>3</v>
      </c>
      <c r="M3" s="6" t="s">
        <v>51</v>
      </c>
      <c r="AU3" s="34"/>
      <c r="AV3" s="34"/>
    </row>
    <row r="4" spans="1:54" x14ac:dyDescent="0.25">
      <c r="J4" s="7">
        <v>1</v>
      </c>
      <c r="K4" s="7">
        <v>1.1000000000000001</v>
      </c>
      <c r="L4" s="7">
        <v>1.1100000000000001</v>
      </c>
      <c r="M4" s="18">
        <v>0.15</v>
      </c>
      <c r="AV4" s="29"/>
    </row>
    <row r="5" spans="1:54" x14ac:dyDescent="0.25">
      <c r="J5" s="15">
        <f>J4-1</f>
        <v>0</v>
      </c>
      <c r="K5" s="15">
        <f>K4-1</f>
        <v>0.10000000000000009</v>
      </c>
      <c r="L5" s="15">
        <f>L4-1</f>
        <v>0.1100000000000001</v>
      </c>
      <c r="M5" s="16"/>
    </row>
    <row r="6" spans="1:54" x14ac:dyDescent="0.25">
      <c r="AL6" s="39" t="s">
        <v>67</v>
      </c>
      <c r="AM6" s="40"/>
      <c r="AN6" s="40"/>
      <c r="AO6" s="40"/>
      <c r="AP6" s="40"/>
      <c r="AQ6" s="40"/>
      <c r="AR6" s="40"/>
      <c r="AS6" s="41"/>
    </row>
    <row r="7" spans="1:54" ht="75" x14ac:dyDescent="0.25">
      <c r="A7" s="5" t="s">
        <v>10</v>
      </c>
      <c r="B7" s="4" t="s">
        <v>5</v>
      </c>
      <c r="C7" s="4" t="s">
        <v>4</v>
      </c>
      <c r="D7" s="4" t="s">
        <v>58</v>
      </c>
      <c r="E7" s="4" t="s">
        <v>66</v>
      </c>
      <c r="F7" s="4" t="s">
        <v>68</v>
      </c>
      <c r="G7" s="6" t="s">
        <v>65</v>
      </c>
      <c r="H7" s="6" t="s">
        <v>69</v>
      </c>
      <c r="I7" s="2" t="s">
        <v>60</v>
      </c>
      <c r="J7" s="6" t="s">
        <v>7</v>
      </c>
      <c r="K7" s="6" t="s">
        <v>8</v>
      </c>
      <c r="L7" s="6" t="s">
        <v>9</v>
      </c>
      <c r="M7" s="6" t="s">
        <v>22</v>
      </c>
      <c r="N7" s="6" t="s">
        <v>23</v>
      </c>
      <c r="O7" s="6" t="s">
        <v>18</v>
      </c>
      <c r="P7" s="6" t="s">
        <v>19</v>
      </c>
      <c r="Q7" s="6" t="s">
        <v>24</v>
      </c>
      <c r="R7" s="6" t="s">
        <v>20</v>
      </c>
      <c r="S7" s="6" t="s">
        <v>71</v>
      </c>
      <c r="T7" s="6" t="s">
        <v>70</v>
      </c>
      <c r="U7" s="6" t="s">
        <v>6</v>
      </c>
      <c r="V7" s="6" t="s">
        <v>21</v>
      </c>
      <c r="W7" s="6" t="s">
        <v>48</v>
      </c>
      <c r="X7" s="6" t="s">
        <v>49</v>
      </c>
      <c r="Y7" s="6" t="s">
        <v>62</v>
      </c>
      <c r="Z7" s="6" t="s">
        <v>61</v>
      </c>
      <c r="AA7" s="17"/>
      <c r="AB7" s="6" t="s">
        <v>63</v>
      </c>
      <c r="AC7" s="6" t="s">
        <v>64</v>
      </c>
      <c r="AD7" s="6" t="s">
        <v>25</v>
      </c>
      <c r="AE7" s="6" t="s">
        <v>26</v>
      </c>
      <c r="AF7" s="6" t="s">
        <v>50</v>
      </c>
      <c r="AG7" s="6" t="s">
        <v>27</v>
      </c>
      <c r="AH7" s="6" t="s">
        <v>28</v>
      </c>
      <c r="AI7" s="6" t="s">
        <v>29</v>
      </c>
      <c r="AJ7" s="6" t="s">
        <v>30</v>
      </c>
      <c r="AK7" s="6" t="s">
        <v>31</v>
      </c>
      <c r="AL7" s="6" t="s">
        <v>32</v>
      </c>
      <c r="AM7" s="6" t="s">
        <v>33</v>
      </c>
      <c r="AN7" s="6" t="s">
        <v>34</v>
      </c>
      <c r="AO7" s="6" t="s">
        <v>35</v>
      </c>
      <c r="AP7" s="6" t="s">
        <v>36</v>
      </c>
      <c r="AQ7" s="6" t="s">
        <v>37</v>
      </c>
      <c r="AR7" s="6" t="s">
        <v>38</v>
      </c>
      <c r="AS7" s="6" t="s">
        <v>39</v>
      </c>
      <c r="AT7" s="6" t="s">
        <v>40</v>
      </c>
      <c r="AU7" s="6" t="s">
        <v>41</v>
      </c>
      <c r="AV7" s="6" t="s">
        <v>42</v>
      </c>
      <c r="AW7" s="6" t="s">
        <v>43</v>
      </c>
      <c r="AX7" s="6" t="s">
        <v>44</v>
      </c>
      <c r="AY7" s="6" t="s">
        <v>45</v>
      </c>
      <c r="AZ7" s="6" t="s">
        <v>46</v>
      </c>
      <c r="BA7" s="6" t="s">
        <v>47</v>
      </c>
    </row>
    <row r="8" spans="1:54" x14ac:dyDescent="0.25">
      <c r="A8" s="8" t="s">
        <v>11</v>
      </c>
      <c r="B8" s="9">
        <v>44686</v>
      </c>
      <c r="C8" s="9">
        <v>45102</v>
      </c>
      <c r="D8" s="9">
        <f>B8</f>
        <v>44686</v>
      </c>
      <c r="E8" s="32">
        <v>1186.56470751604</v>
      </c>
      <c r="F8" s="31">
        <f>E8/365*J8</f>
        <v>1352.3586803470484</v>
      </c>
      <c r="G8" s="32">
        <v>1412.5770327571906</v>
      </c>
      <c r="H8" s="31">
        <f>ROUND(G8/365*J8,2)</f>
        <v>1609.95</v>
      </c>
      <c r="I8" s="10">
        <v>90</v>
      </c>
      <c r="J8" s="11">
        <f>C8-B8</f>
        <v>416</v>
      </c>
      <c r="K8" s="11" t="s">
        <v>0</v>
      </c>
      <c r="L8" s="11" t="s">
        <v>0</v>
      </c>
      <c r="M8" s="11" t="s">
        <v>0</v>
      </c>
      <c r="N8" s="11" t="s">
        <v>0</v>
      </c>
      <c r="O8" s="12" t="s">
        <v>0</v>
      </c>
      <c r="P8" s="12" t="s">
        <v>0</v>
      </c>
      <c r="Q8" s="12">
        <f>F8</f>
        <v>1352.3586803470484</v>
      </c>
      <c r="R8" s="14">
        <f>H8</f>
        <v>1609.95</v>
      </c>
      <c r="S8" s="33">
        <f>G8/365*J8</f>
        <v>1609.9508099369625</v>
      </c>
      <c r="T8" s="14">
        <f>R8</f>
        <v>1609.95</v>
      </c>
      <c r="U8" s="14">
        <v>0</v>
      </c>
      <c r="V8" s="12">
        <f>AN8</f>
        <v>1724.7570327571907</v>
      </c>
      <c r="W8" s="3">
        <f t="shared" ref="W8:W13" si="0">AU8+AX8+AZ8+BA8</f>
        <v>1965.75</v>
      </c>
      <c r="X8" s="3">
        <f>U8*J4*K4*L4</f>
        <v>0</v>
      </c>
      <c r="Y8" s="3">
        <f>W8+(I8*K5)+I8</f>
        <v>2064.75</v>
      </c>
      <c r="Z8" s="3">
        <f>X8</f>
        <v>0</v>
      </c>
      <c r="AA8" s="17"/>
      <c r="AB8" s="14"/>
      <c r="AC8" s="14"/>
      <c r="AD8" s="14">
        <v>0</v>
      </c>
      <c r="AE8" s="12">
        <v>0</v>
      </c>
      <c r="AF8" s="12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f t="shared" ref="AL8:AL14" si="1">E8</f>
        <v>1186.56470751604</v>
      </c>
      <c r="AM8" s="14">
        <f t="shared" ref="AM8:AM14" si="2">G8</f>
        <v>1412.5770327571906</v>
      </c>
      <c r="AN8" s="14">
        <f>AM8+AP8+AR8+AS8</f>
        <v>1724.7570327571907</v>
      </c>
      <c r="AO8" s="14">
        <f>ROUND(AM8*M4,2)</f>
        <v>211.89</v>
      </c>
      <c r="AP8" s="14">
        <f>ROUND((AM8+AS8)*K5,2)</f>
        <v>141.26</v>
      </c>
      <c r="AQ8" s="14">
        <f>ROUND(AO8*K5,2)</f>
        <v>21.19</v>
      </c>
      <c r="AR8" s="14">
        <f>ROUND((AM8+AP8+AS8)*L5,2)</f>
        <v>170.92</v>
      </c>
      <c r="AS8" s="14">
        <f>ROUND(AM8*J5,2)</f>
        <v>0</v>
      </c>
      <c r="AT8" s="14">
        <f t="shared" ref="AT8:AU14" si="3">Q8</f>
        <v>1352.3586803470484</v>
      </c>
      <c r="AU8" s="14">
        <f t="shared" si="3"/>
        <v>1609.95</v>
      </c>
      <c r="AV8" s="14">
        <f>W8</f>
        <v>1965.75</v>
      </c>
      <c r="AW8" s="14">
        <f>ROUND(AU8*$M$4,2)</f>
        <v>241.49</v>
      </c>
      <c r="AX8" s="14">
        <f>ROUND((AU8+BA8)*$K$5,2)</f>
        <v>161</v>
      </c>
      <c r="AY8" s="14">
        <f>ROUND(AW8*$K$5,2)</f>
        <v>24.15</v>
      </c>
      <c r="AZ8" s="14">
        <f>ROUND((AU8+AX8+BA8)*$L$5,2)</f>
        <v>194.8</v>
      </c>
      <c r="BA8" s="14">
        <f>ROUND(AU8*J5,2)</f>
        <v>0</v>
      </c>
    </row>
    <row r="9" spans="1:54" x14ac:dyDescent="0.25">
      <c r="A9" s="8" t="s">
        <v>12</v>
      </c>
      <c r="B9" s="13">
        <f>B8</f>
        <v>44686</v>
      </c>
      <c r="C9" s="13">
        <f>C8</f>
        <v>45102</v>
      </c>
      <c r="D9" s="9">
        <v>44661</v>
      </c>
      <c r="E9" s="32">
        <v>1672.8612465006499</v>
      </c>
      <c r="F9" s="31">
        <f>E9/365*J9</f>
        <v>1906.6035028610147</v>
      </c>
      <c r="G9" s="32">
        <v>1991.5014839293453</v>
      </c>
      <c r="H9" s="31">
        <f>ROUND(G9/365*J9,2)</f>
        <v>2269.77</v>
      </c>
      <c r="I9" s="10">
        <v>90</v>
      </c>
      <c r="J9" s="11">
        <f>C9-B9</f>
        <v>416</v>
      </c>
      <c r="K9" s="11">
        <f>D9-D8</f>
        <v>-25</v>
      </c>
      <c r="L9" s="11">
        <f>C9-D9</f>
        <v>441</v>
      </c>
      <c r="M9" s="12">
        <f>E8/365*K9</f>
        <v>-81.271555309317804</v>
      </c>
      <c r="N9" s="12">
        <f>E9/365*L9</f>
        <v>2021.1830402925659</v>
      </c>
      <c r="O9" s="12">
        <f t="shared" ref="O9:O14" si="4">G8/365*K9</f>
        <v>-96.751851558711692</v>
      </c>
      <c r="P9" s="12">
        <f>G9/365*L9</f>
        <v>2406.1702860625787</v>
      </c>
      <c r="Q9" s="14">
        <f>M9+N9</f>
        <v>1939.9114849832481</v>
      </c>
      <c r="R9" s="14">
        <f>ROUND(O9+P9,2)</f>
        <v>2309.42</v>
      </c>
      <c r="S9" s="33">
        <f>S8-(G8/365*L9)+P9</f>
        <v>2309.418434503867</v>
      </c>
      <c r="T9" s="14">
        <f>ROUND(S9,2)</f>
        <v>2309.42</v>
      </c>
      <c r="U9" s="14">
        <f t="shared" ref="U9:U14" si="5">R9-R8</f>
        <v>699.47</v>
      </c>
      <c r="V9" s="12">
        <f t="shared" ref="V9:V14" si="6">AN9</f>
        <v>2431.6214839293452</v>
      </c>
      <c r="W9" s="3">
        <f>AU9+AX9+AZ9+BA9</f>
        <v>2819.8</v>
      </c>
      <c r="X9" s="3">
        <f>W9-W8</f>
        <v>854.05000000000018</v>
      </c>
      <c r="Y9" s="3">
        <f>W9+(I9*K5)+I9</f>
        <v>2918.8</v>
      </c>
      <c r="Z9" s="3">
        <f>Y9-Y8</f>
        <v>854.05000000000018</v>
      </c>
      <c r="AA9" s="17"/>
      <c r="AB9" s="14">
        <f t="shared" ref="AB9:AB14" si="7">I9-I8</f>
        <v>0</v>
      </c>
      <c r="AC9" s="14">
        <f t="shared" ref="AC9:AC14" si="8">(I9*$K$5)-(I8*$K$5)</f>
        <v>0</v>
      </c>
      <c r="AD9" s="14">
        <f>Q9-Q8</f>
        <v>587.55280463619965</v>
      </c>
      <c r="AE9" s="12">
        <f>U9</f>
        <v>699.47</v>
      </c>
      <c r="AF9" s="12">
        <f>X9</f>
        <v>854.05000000000018</v>
      </c>
      <c r="AG9" s="14">
        <f>AW9-AW8</f>
        <v>104.92000000000002</v>
      </c>
      <c r="AH9" s="30">
        <f>AX9-AX8</f>
        <v>69.94</v>
      </c>
      <c r="AI9" s="30">
        <f>AY9-AY8</f>
        <v>10.490000000000002</v>
      </c>
      <c r="AJ9" s="14">
        <f>AZ9-AZ8</f>
        <v>84.639999999999986</v>
      </c>
      <c r="AK9" s="14">
        <f>BA9-BA8</f>
        <v>0</v>
      </c>
      <c r="AL9" s="14">
        <f t="shared" si="1"/>
        <v>1672.8612465006499</v>
      </c>
      <c r="AM9" s="14">
        <f t="shared" si="2"/>
        <v>1991.5014839293453</v>
      </c>
      <c r="AN9" s="14">
        <f>AM9+AP9+AR9+AS9</f>
        <v>2431.6214839293452</v>
      </c>
      <c r="AO9" s="14">
        <f>ROUND(AM9*M4,2)</f>
        <v>298.73</v>
      </c>
      <c r="AP9" s="14">
        <f>ROUND((AM9+AS9)*K5,2)</f>
        <v>199.15</v>
      </c>
      <c r="AQ9" s="14">
        <f>ROUND(AO9*K5,2)</f>
        <v>29.87</v>
      </c>
      <c r="AR9" s="14">
        <f>ROUND((AM9+AP9+AS9)*L5,2)</f>
        <v>240.97</v>
      </c>
      <c r="AS9" s="14">
        <f>ROUND(AM9*J5,2)</f>
        <v>0</v>
      </c>
      <c r="AT9" s="14">
        <f>Q9</f>
        <v>1939.9114849832481</v>
      </c>
      <c r="AU9" s="14">
        <f t="shared" si="3"/>
        <v>2309.42</v>
      </c>
      <c r="AV9" s="14">
        <f>W9</f>
        <v>2819.8</v>
      </c>
      <c r="AW9" s="14">
        <f>ROUND(AU9*$M$4,2)</f>
        <v>346.41</v>
      </c>
      <c r="AX9" s="14">
        <f>ROUND((AU9+BA9)*$K$5,2)</f>
        <v>230.94</v>
      </c>
      <c r="AY9" s="14">
        <f t="shared" ref="AY9:AY14" si="9">ROUND(AW9*$K$5,2)</f>
        <v>34.64</v>
      </c>
      <c r="AZ9" s="14">
        <f>ROUND((AU9+AX9+BA9)*$L$5,2)</f>
        <v>279.44</v>
      </c>
      <c r="BA9" s="14">
        <f>ROUND(AU9*J5,2)</f>
        <v>0</v>
      </c>
      <c r="BB9" s="29">
        <f>AU9*M4</f>
        <v>346.41300000000001</v>
      </c>
    </row>
    <row r="10" spans="1:54" x14ac:dyDescent="0.25">
      <c r="A10" s="8" t="s">
        <v>13</v>
      </c>
      <c r="B10" s="13">
        <f>B8</f>
        <v>44686</v>
      </c>
      <c r="C10" s="13">
        <f>C8</f>
        <v>45102</v>
      </c>
      <c r="D10" s="9">
        <v>44666</v>
      </c>
      <c r="E10" s="32">
        <v>1846.49848939751</v>
      </c>
      <c r="F10" s="31">
        <f t="shared" ref="F10:F14" si="10">E10/365*J10</f>
        <v>2104.5023879160658</v>
      </c>
      <c r="G10" s="32">
        <v>2198.2124873779899</v>
      </c>
      <c r="H10" s="31">
        <f t="shared" ref="H10:H14" si="11">ROUND(G10/365*J10,2)</f>
        <v>2505.36</v>
      </c>
      <c r="I10" s="10">
        <v>90</v>
      </c>
      <c r="J10" s="11">
        <f>C10-B10</f>
        <v>416</v>
      </c>
      <c r="K10" s="11">
        <f>D10-D9</f>
        <v>5</v>
      </c>
      <c r="L10" s="11">
        <f t="shared" ref="L10:L14" si="12">C10-D10</f>
        <v>436</v>
      </c>
      <c r="M10" s="12">
        <f t="shared" ref="M10:M14" si="13">E9/365*K10</f>
        <v>22.915907486310271</v>
      </c>
      <c r="N10" s="12">
        <f t="shared" ref="N10:N14" si="14">E10/365*L10</f>
        <v>2205.6803873351078</v>
      </c>
      <c r="O10" s="12">
        <f t="shared" si="4"/>
        <v>27.280842245607467</v>
      </c>
      <c r="P10" s="12">
        <f t="shared" ref="P10:P14" si="15">G10/365*L10</f>
        <v>2625.8099849227497</v>
      </c>
      <c r="Q10" s="14">
        <f>SUM(M9:M10)+N10</f>
        <v>2147.3247395121002</v>
      </c>
      <c r="R10" s="14">
        <f>ROUND(SUM(O9:O10)+P10,2)</f>
        <v>2556.34</v>
      </c>
      <c r="S10" s="33">
        <f>S9-(G9/365*L10)+P10</f>
        <v>2556.3389756096453</v>
      </c>
      <c r="T10" s="14">
        <f>ROUND(S10,2)</f>
        <v>2556.34</v>
      </c>
      <c r="U10" s="14">
        <f t="shared" si="5"/>
        <v>246.92000000000007</v>
      </c>
      <c r="V10" s="12">
        <f t="shared" si="6"/>
        <v>2684.0124873779901</v>
      </c>
      <c r="W10" s="3">
        <f t="shared" si="0"/>
        <v>3121.2900000000004</v>
      </c>
      <c r="X10" s="3">
        <f>W10-W9</f>
        <v>301.49000000000024</v>
      </c>
      <c r="Y10" s="3">
        <f>W10+(I10*K5)+I10</f>
        <v>3220.2900000000004</v>
      </c>
      <c r="Z10" s="3">
        <f>Y10-Y9</f>
        <v>301.49000000000024</v>
      </c>
      <c r="AA10" s="17"/>
      <c r="AB10" s="14">
        <f t="shared" si="7"/>
        <v>0</v>
      </c>
      <c r="AC10" s="14">
        <f t="shared" si="8"/>
        <v>0</v>
      </c>
      <c r="AD10" s="14">
        <f t="shared" ref="AD10:AD14" si="16">Q10-Q9</f>
        <v>207.41325452885212</v>
      </c>
      <c r="AE10" s="12">
        <f>U10</f>
        <v>246.92000000000007</v>
      </c>
      <c r="AF10" s="12">
        <f t="shared" ref="AF10:AF13" si="17">X10</f>
        <v>301.49000000000024</v>
      </c>
      <c r="AG10" s="14">
        <f>AW10-AW9</f>
        <v>37.039999999999964</v>
      </c>
      <c r="AH10" s="30">
        <f>AX10-AX9</f>
        <v>24.689999999999998</v>
      </c>
      <c r="AI10" s="30">
        <f t="shared" ref="AG10:AK14" si="18">AY10-AY9</f>
        <v>3.7100000000000009</v>
      </c>
      <c r="AJ10" s="14">
        <f>AZ10-AZ9</f>
        <v>29.879999999999995</v>
      </c>
      <c r="AK10" s="14">
        <f t="shared" si="18"/>
        <v>0</v>
      </c>
      <c r="AL10" s="14">
        <f t="shared" si="1"/>
        <v>1846.49848939751</v>
      </c>
      <c r="AM10" s="14">
        <f t="shared" si="2"/>
        <v>2198.2124873779899</v>
      </c>
      <c r="AN10" s="14">
        <f t="shared" ref="AN10:AN14" si="19">AM10+AP10+AR10+AS10</f>
        <v>2684.0124873779901</v>
      </c>
      <c r="AO10" s="14">
        <f>ROUND(AM10*M4,2)</f>
        <v>329.73</v>
      </c>
      <c r="AP10" s="14">
        <f>ROUND((AM10+AS10)*K5,2)</f>
        <v>219.82</v>
      </c>
      <c r="AQ10" s="14">
        <f>ROUND(AO10*K5,2)</f>
        <v>32.97</v>
      </c>
      <c r="AR10" s="14">
        <f>ROUND((AM10+AP10+AS10)*L5,2)</f>
        <v>265.98</v>
      </c>
      <c r="AS10" s="14">
        <f>ROUND(AM10*J5,2)</f>
        <v>0</v>
      </c>
      <c r="AT10" s="14">
        <f t="shared" si="3"/>
        <v>2147.3247395121002</v>
      </c>
      <c r="AU10" s="14">
        <f t="shared" si="3"/>
        <v>2556.34</v>
      </c>
      <c r="AV10" s="14">
        <f t="shared" ref="AV10:AV14" si="20">W10</f>
        <v>3121.2900000000004</v>
      </c>
      <c r="AW10" s="14">
        <f>ROUND(AU10*$M$4,2)</f>
        <v>383.45</v>
      </c>
      <c r="AX10" s="14">
        <f>ROUND((AU10+BA10)*$K$5,2)</f>
        <v>255.63</v>
      </c>
      <c r="AY10" s="14">
        <f t="shared" si="9"/>
        <v>38.35</v>
      </c>
      <c r="AZ10" s="14">
        <f>ROUND((AU10+AX10+BA10)*$L$5,2)</f>
        <v>309.32</v>
      </c>
      <c r="BA10" s="14">
        <f>ROUND(AU10*J5,2)</f>
        <v>0</v>
      </c>
    </row>
    <row r="11" spans="1:54" x14ac:dyDescent="0.25">
      <c r="A11" s="8" t="s">
        <v>14</v>
      </c>
      <c r="B11" s="13">
        <f>B8</f>
        <v>44686</v>
      </c>
      <c r="C11" s="13">
        <f>C8</f>
        <v>45102</v>
      </c>
      <c r="D11" s="9">
        <v>44866</v>
      </c>
      <c r="E11" s="32">
        <v>1228.2163915094341</v>
      </c>
      <c r="F11" s="31">
        <f t="shared" si="10"/>
        <v>1399.8301886792453</v>
      </c>
      <c r="G11" s="32">
        <v>455</v>
      </c>
      <c r="H11" s="31">
        <f t="shared" si="11"/>
        <v>518.58000000000004</v>
      </c>
      <c r="I11" s="10">
        <v>90</v>
      </c>
      <c r="J11" s="11">
        <f>C11-B11</f>
        <v>416</v>
      </c>
      <c r="K11" s="11">
        <f>D11-D10</f>
        <v>200</v>
      </c>
      <c r="L11" s="11">
        <f t="shared" si="12"/>
        <v>236</v>
      </c>
      <c r="M11" s="12">
        <f t="shared" si="13"/>
        <v>1011.7799941904163</v>
      </c>
      <c r="N11" s="12">
        <f t="shared" si="14"/>
        <v>794.13443396226421</v>
      </c>
      <c r="O11" s="12">
        <f t="shared" si="4"/>
        <v>1204.4999930838301</v>
      </c>
      <c r="P11" s="12">
        <f t="shared" si="15"/>
        <v>294.19178082191786</v>
      </c>
      <c r="Q11" s="14">
        <f>SUM(M9:M11)+N11</f>
        <v>1747.558780329673</v>
      </c>
      <c r="R11" s="14">
        <f>ROUND(SUM(O9:O11)+P11,2)</f>
        <v>1429.22</v>
      </c>
      <c r="S11" s="33">
        <f t="shared" ref="S11:S14" si="21">G11/365*J11</f>
        <v>518.57534246575347</v>
      </c>
      <c r="T11" s="14">
        <f>ROUND(T10-(G10/365*L11)+P11,2)</f>
        <v>1429.22</v>
      </c>
      <c r="U11" s="14">
        <f t="shared" si="5"/>
        <v>-1127.1200000000001</v>
      </c>
      <c r="V11" s="12">
        <f t="shared" si="6"/>
        <v>555.55999999999995</v>
      </c>
      <c r="W11" s="3">
        <f t="shared" si="0"/>
        <v>1745.0800000000002</v>
      </c>
      <c r="X11" s="3">
        <f t="shared" ref="X11:X14" si="22">W11-W10</f>
        <v>-1376.2100000000003</v>
      </c>
      <c r="Y11" s="3">
        <f>W11+(I11*K5)+I11</f>
        <v>1844.0800000000002</v>
      </c>
      <c r="Z11" s="3">
        <f>Y11-Y10</f>
        <v>-1376.2100000000003</v>
      </c>
      <c r="AA11" s="17"/>
      <c r="AB11" s="14">
        <f t="shared" si="7"/>
        <v>0</v>
      </c>
      <c r="AC11" s="14">
        <f t="shared" si="8"/>
        <v>0</v>
      </c>
      <c r="AD11" s="14">
        <f t="shared" si="16"/>
        <v>-399.7659591824272</v>
      </c>
      <c r="AE11" s="12">
        <f>U11</f>
        <v>-1127.1200000000001</v>
      </c>
      <c r="AF11" s="12">
        <f>X11</f>
        <v>-1376.2100000000003</v>
      </c>
      <c r="AG11" s="14">
        <f t="shared" si="18"/>
        <v>-169.07</v>
      </c>
      <c r="AH11" s="30">
        <f t="shared" si="18"/>
        <v>-112.71000000000001</v>
      </c>
      <c r="AI11" s="30">
        <f t="shared" si="18"/>
        <v>-16.91</v>
      </c>
      <c r="AJ11" s="14">
        <f t="shared" si="18"/>
        <v>-136.38</v>
      </c>
      <c r="AK11" s="14">
        <f t="shared" si="18"/>
        <v>0</v>
      </c>
      <c r="AL11" s="14">
        <f t="shared" si="1"/>
        <v>1228.2163915094341</v>
      </c>
      <c r="AM11" s="14">
        <f t="shared" si="2"/>
        <v>455</v>
      </c>
      <c r="AN11" s="14">
        <f t="shared" si="19"/>
        <v>555.55999999999995</v>
      </c>
      <c r="AO11" s="14">
        <f>ROUND(AM11*M4,2)</f>
        <v>68.25</v>
      </c>
      <c r="AP11" s="14">
        <f>ROUND((AM11+AS11)*K5,2)</f>
        <v>45.5</v>
      </c>
      <c r="AQ11" s="14">
        <f>ROUND(AO11*K5,2)</f>
        <v>6.83</v>
      </c>
      <c r="AR11" s="14">
        <f>ROUND((AM11+AP11+AS11)*L5,2)</f>
        <v>55.06</v>
      </c>
      <c r="AS11" s="14">
        <f>ROUND(AM11*J5,2)</f>
        <v>0</v>
      </c>
      <c r="AT11" s="14">
        <f t="shared" si="3"/>
        <v>1747.558780329673</v>
      </c>
      <c r="AU11" s="14">
        <f t="shared" si="3"/>
        <v>1429.22</v>
      </c>
      <c r="AV11" s="14">
        <f t="shared" si="20"/>
        <v>1745.0800000000002</v>
      </c>
      <c r="AW11" s="14">
        <f t="shared" ref="AW11:AW14" si="23">ROUND(AU11*$M$4,2)</f>
        <v>214.38</v>
      </c>
      <c r="AX11" s="14">
        <f t="shared" ref="AX11:AX14" si="24">ROUND((AU11+BA11)*$K$5,2)</f>
        <v>142.91999999999999</v>
      </c>
      <c r="AY11" s="14">
        <f t="shared" si="9"/>
        <v>21.44</v>
      </c>
      <c r="AZ11" s="14">
        <f t="shared" ref="AZ11:AZ14" si="25">ROUND((AU11+AX11+BA11)*$L$5,2)</f>
        <v>172.94</v>
      </c>
      <c r="BA11" s="14">
        <f>ROUND(AU11*J5,2)</f>
        <v>0</v>
      </c>
    </row>
    <row r="12" spans="1:54" x14ac:dyDescent="0.25">
      <c r="A12" s="8" t="s">
        <v>16</v>
      </c>
      <c r="B12" s="13">
        <f>B8</f>
        <v>44686</v>
      </c>
      <c r="C12" s="13">
        <f>C8</f>
        <v>45102</v>
      </c>
      <c r="D12" s="9">
        <v>44769</v>
      </c>
      <c r="E12" s="32">
        <v>1096.9713443396226</v>
      </c>
      <c r="F12" s="31">
        <f t="shared" si="10"/>
        <v>1250.2467924528301</v>
      </c>
      <c r="G12" s="32">
        <v>1443.5577830188681</v>
      </c>
      <c r="H12" s="31">
        <f t="shared" si="11"/>
        <v>1645.26</v>
      </c>
      <c r="I12" s="10">
        <v>90</v>
      </c>
      <c r="J12" s="11">
        <f>C12-B12</f>
        <v>416</v>
      </c>
      <c r="K12" s="11">
        <f t="shared" ref="K12:K14" si="26">D12-D11</f>
        <v>-97</v>
      </c>
      <c r="L12" s="11">
        <f t="shared" si="12"/>
        <v>333</v>
      </c>
      <c r="M12" s="12">
        <f t="shared" si="13"/>
        <v>-326.40271226415098</v>
      </c>
      <c r="N12" s="12">
        <f t="shared" si="14"/>
        <v>1000.7985141509433</v>
      </c>
      <c r="O12" s="12">
        <f t="shared" si="4"/>
        <v>-120.91780821917808</v>
      </c>
      <c r="P12" s="12">
        <f t="shared" si="15"/>
        <v>1316.9992924528303</v>
      </c>
      <c r="Q12" s="14">
        <f>SUM(M9:M12)+N12</f>
        <v>1627.8201482542013</v>
      </c>
      <c r="R12" s="14">
        <f>ROUND(SUM(O9:O12)+P12,2)</f>
        <v>2331.11</v>
      </c>
      <c r="S12" s="33">
        <f t="shared" si="21"/>
        <v>1645.2603773584908</v>
      </c>
      <c r="T12" s="14">
        <f>ROUND(T11-(G11/365*L12)+P12,2)</f>
        <v>2331.11</v>
      </c>
      <c r="U12" s="14">
        <f t="shared" si="5"/>
        <v>901.8900000000001</v>
      </c>
      <c r="V12" s="12">
        <f t="shared" si="6"/>
        <v>1762.5877830188683</v>
      </c>
      <c r="W12" s="3">
        <f t="shared" si="0"/>
        <v>2846.28</v>
      </c>
      <c r="X12" s="3">
        <f t="shared" si="22"/>
        <v>1101.2</v>
      </c>
      <c r="Y12" s="3">
        <f>W12+(I12*K5)+I12</f>
        <v>2945.28</v>
      </c>
      <c r="Z12" s="3">
        <f t="shared" ref="Z12:Z14" si="27">Y12-Y11</f>
        <v>1101.2</v>
      </c>
      <c r="AA12" s="17"/>
      <c r="AB12" s="14">
        <f t="shared" si="7"/>
        <v>0</v>
      </c>
      <c r="AC12" s="14">
        <f t="shared" si="8"/>
        <v>0</v>
      </c>
      <c r="AD12" s="14">
        <f t="shared" si="16"/>
        <v>-119.73863207547174</v>
      </c>
      <c r="AE12" s="12">
        <f t="shared" ref="AE12:AE14" si="28">U12</f>
        <v>901.8900000000001</v>
      </c>
      <c r="AF12" s="12">
        <f t="shared" si="17"/>
        <v>1101.2</v>
      </c>
      <c r="AG12" s="14">
        <f t="shared" si="18"/>
        <v>135.29000000000002</v>
      </c>
      <c r="AH12" s="30">
        <f t="shared" si="18"/>
        <v>90.190000000000026</v>
      </c>
      <c r="AI12" s="30">
        <f t="shared" si="18"/>
        <v>13.529999999999998</v>
      </c>
      <c r="AJ12" s="14">
        <f t="shared" si="18"/>
        <v>109.12</v>
      </c>
      <c r="AK12" s="14">
        <f t="shared" si="18"/>
        <v>0</v>
      </c>
      <c r="AL12" s="14">
        <f t="shared" si="1"/>
        <v>1096.9713443396226</v>
      </c>
      <c r="AM12" s="14">
        <f t="shared" si="2"/>
        <v>1443.5577830188681</v>
      </c>
      <c r="AN12" s="14">
        <f t="shared" si="19"/>
        <v>1762.5877830188683</v>
      </c>
      <c r="AO12" s="14">
        <f>ROUND(AM12*M4,2)</f>
        <v>216.53</v>
      </c>
      <c r="AP12" s="14">
        <f>ROUND((AM12+AS12)*K5,2)</f>
        <v>144.36000000000001</v>
      </c>
      <c r="AQ12" s="14">
        <f>ROUND(AO12*K5,2)</f>
        <v>21.65</v>
      </c>
      <c r="AR12" s="14">
        <f>ROUND((AM12+AP12+AS12)*L5,2)</f>
        <v>174.67</v>
      </c>
      <c r="AS12" s="14">
        <f>ROUND(AM12*J5,2)</f>
        <v>0</v>
      </c>
      <c r="AT12" s="14">
        <f t="shared" si="3"/>
        <v>1627.8201482542013</v>
      </c>
      <c r="AU12" s="14">
        <f t="shared" si="3"/>
        <v>2331.11</v>
      </c>
      <c r="AV12" s="14">
        <f t="shared" si="20"/>
        <v>2846.28</v>
      </c>
      <c r="AW12" s="14">
        <f t="shared" si="23"/>
        <v>349.67</v>
      </c>
      <c r="AX12" s="14">
        <f t="shared" si="24"/>
        <v>233.11</v>
      </c>
      <c r="AY12" s="14">
        <f t="shared" si="9"/>
        <v>34.97</v>
      </c>
      <c r="AZ12" s="14">
        <f t="shared" si="25"/>
        <v>282.06</v>
      </c>
      <c r="BA12" s="14">
        <f>ROUND(AU12*J5,2)</f>
        <v>0</v>
      </c>
    </row>
    <row r="13" spans="1:54" x14ac:dyDescent="0.25">
      <c r="A13" s="8" t="s">
        <v>17</v>
      </c>
      <c r="B13" s="13">
        <f>B8</f>
        <v>44686</v>
      </c>
      <c r="C13" s="13">
        <f>C8</f>
        <v>45102</v>
      </c>
      <c r="D13" s="9">
        <v>44804</v>
      </c>
      <c r="E13" s="32">
        <v>1300.9899</v>
      </c>
      <c r="F13" s="31">
        <f t="shared" si="10"/>
        <v>1482.7720504109591</v>
      </c>
      <c r="G13" s="32">
        <v>1602.4705188679245</v>
      </c>
      <c r="H13" s="31">
        <f t="shared" si="11"/>
        <v>1826.38</v>
      </c>
      <c r="I13" s="10">
        <v>90</v>
      </c>
      <c r="J13" s="11">
        <f t="shared" ref="J13:J14" si="29">C13-B13</f>
        <v>416</v>
      </c>
      <c r="K13" s="11">
        <f t="shared" si="26"/>
        <v>35</v>
      </c>
      <c r="L13" s="11">
        <f t="shared" si="12"/>
        <v>298</v>
      </c>
      <c r="M13" s="12">
        <f t="shared" si="13"/>
        <v>105.18903301886792</v>
      </c>
      <c r="N13" s="12">
        <f t="shared" si="14"/>
        <v>1062.1780553424658</v>
      </c>
      <c r="O13" s="12">
        <f t="shared" si="4"/>
        <v>138.4233490566038</v>
      </c>
      <c r="P13" s="12">
        <f t="shared" si="15"/>
        <v>1308.318396226415</v>
      </c>
      <c r="Q13" s="14">
        <f>SUM(M9:M13)+N13</f>
        <v>1794.3887224645914</v>
      </c>
      <c r="R13" s="14">
        <f>ROUND(SUM(O9:O13)+P13,2)</f>
        <v>2460.85</v>
      </c>
      <c r="S13" s="33">
        <f t="shared" si="21"/>
        <v>1826.3773584905659</v>
      </c>
      <c r="T13" s="14">
        <f>ROUND(T12-(G12/365*L13)+P13,2)</f>
        <v>2460.85</v>
      </c>
      <c r="U13" s="14">
        <f t="shared" si="5"/>
        <v>129.73999999999978</v>
      </c>
      <c r="V13" s="12">
        <f t="shared" si="6"/>
        <v>1956.6205188679246</v>
      </c>
      <c r="W13" s="3">
        <f t="shared" si="0"/>
        <v>3004.7</v>
      </c>
      <c r="X13" s="3">
        <f t="shared" si="22"/>
        <v>158.41999999999962</v>
      </c>
      <c r="Y13" s="3">
        <f>W13+(I13*K5)+I13</f>
        <v>3103.7</v>
      </c>
      <c r="Z13" s="3">
        <f t="shared" si="27"/>
        <v>158.41999999999962</v>
      </c>
      <c r="AA13" s="17"/>
      <c r="AB13" s="14">
        <f t="shared" si="7"/>
        <v>0</v>
      </c>
      <c r="AC13" s="14">
        <f t="shared" si="8"/>
        <v>0</v>
      </c>
      <c r="AD13" s="14">
        <f t="shared" si="16"/>
        <v>166.56857421039012</v>
      </c>
      <c r="AE13" s="12">
        <f t="shared" si="28"/>
        <v>129.73999999999978</v>
      </c>
      <c r="AF13" s="12">
        <f t="shared" si="17"/>
        <v>158.41999999999962</v>
      </c>
      <c r="AG13" s="14">
        <f t="shared" si="18"/>
        <v>19.45999999999998</v>
      </c>
      <c r="AH13" s="30">
        <f t="shared" si="18"/>
        <v>12.97999999999999</v>
      </c>
      <c r="AI13" s="30">
        <f t="shared" si="18"/>
        <v>1.9399999999999977</v>
      </c>
      <c r="AJ13" s="14">
        <f t="shared" si="18"/>
        <v>15.699999999999989</v>
      </c>
      <c r="AK13" s="14">
        <f t="shared" si="18"/>
        <v>0</v>
      </c>
      <c r="AL13" s="14">
        <f t="shared" si="1"/>
        <v>1300.9899</v>
      </c>
      <c r="AM13" s="14">
        <f t="shared" si="2"/>
        <v>1602.4705188679245</v>
      </c>
      <c r="AN13" s="14">
        <f t="shared" si="19"/>
        <v>1956.6205188679246</v>
      </c>
      <c r="AO13" s="14">
        <f>ROUND(AM13*M4,2)</f>
        <v>240.37</v>
      </c>
      <c r="AP13" s="14">
        <f>ROUND((AM13+AS13)*K5,2)</f>
        <v>160.25</v>
      </c>
      <c r="AQ13" s="14">
        <f>ROUND(AO13*K5,2)</f>
        <v>24.04</v>
      </c>
      <c r="AR13" s="14">
        <f>ROUND((AM13+AP13+AS13)*L5,2)</f>
        <v>193.9</v>
      </c>
      <c r="AS13" s="14">
        <f>ROUND(AM13*J5,2)</f>
        <v>0</v>
      </c>
      <c r="AT13" s="14">
        <f t="shared" si="3"/>
        <v>1794.3887224645914</v>
      </c>
      <c r="AU13" s="14">
        <f t="shared" si="3"/>
        <v>2460.85</v>
      </c>
      <c r="AV13" s="14">
        <f t="shared" si="20"/>
        <v>3004.7</v>
      </c>
      <c r="AW13" s="14">
        <f t="shared" si="23"/>
        <v>369.13</v>
      </c>
      <c r="AX13" s="14">
        <f t="shared" si="24"/>
        <v>246.09</v>
      </c>
      <c r="AY13" s="14">
        <f t="shared" si="9"/>
        <v>36.909999999999997</v>
      </c>
      <c r="AZ13" s="14">
        <f t="shared" si="25"/>
        <v>297.76</v>
      </c>
      <c r="BA13" s="14">
        <f>ROUND(AU13*J5,2)</f>
        <v>0</v>
      </c>
    </row>
    <row r="14" spans="1:54" x14ac:dyDescent="0.25">
      <c r="A14" s="8" t="s">
        <v>15</v>
      </c>
      <c r="B14" s="13">
        <f>B8</f>
        <v>44686</v>
      </c>
      <c r="C14" s="13">
        <f>C8</f>
        <v>45102</v>
      </c>
      <c r="D14" s="9">
        <v>44824</v>
      </c>
      <c r="E14" s="32">
        <v>1378.95777</v>
      </c>
      <c r="F14" s="31">
        <f t="shared" si="10"/>
        <v>1571.6340611506848</v>
      </c>
      <c r="G14" s="32">
        <v>1715.6979952830191</v>
      </c>
      <c r="H14" s="31">
        <f t="shared" si="11"/>
        <v>1955.43</v>
      </c>
      <c r="I14" s="10">
        <v>90</v>
      </c>
      <c r="J14" s="11">
        <f t="shared" si="29"/>
        <v>416</v>
      </c>
      <c r="K14" s="11">
        <f t="shared" si="26"/>
        <v>20</v>
      </c>
      <c r="L14" s="11">
        <f t="shared" si="12"/>
        <v>278</v>
      </c>
      <c r="M14" s="12">
        <f t="shared" si="13"/>
        <v>71.287117808219179</v>
      </c>
      <c r="N14" s="12">
        <f t="shared" si="14"/>
        <v>1050.2746850958904</v>
      </c>
      <c r="O14" s="12">
        <f t="shared" si="4"/>
        <v>87.806603773584897</v>
      </c>
      <c r="P14" s="12">
        <f t="shared" si="15"/>
        <v>1306.7508018867925</v>
      </c>
      <c r="Q14" s="14">
        <f>SUM(M9:M14)+N14</f>
        <v>1853.7724700262352</v>
      </c>
      <c r="R14" s="14">
        <f>ROUND(SUM(O9:O14)+P14,2)</f>
        <v>2547.09</v>
      </c>
      <c r="S14" s="33">
        <f t="shared" si="21"/>
        <v>1955.4256603773586</v>
      </c>
      <c r="T14" s="14">
        <f>ROUND(T13-(G13/365*L14)+P14,2)</f>
        <v>2547.09</v>
      </c>
      <c r="U14" s="14">
        <f t="shared" si="5"/>
        <v>86.240000000000236</v>
      </c>
      <c r="V14" s="12">
        <f t="shared" si="6"/>
        <v>2094.8679952830189</v>
      </c>
      <c r="W14" s="3">
        <f>AU14+AX14+AZ14+BA14</f>
        <v>3110</v>
      </c>
      <c r="X14" s="3">
        <f t="shared" si="22"/>
        <v>105.30000000000018</v>
      </c>
      <c r="Y14" s="3">
        <f>W14+(I14*K5)+I14</f>
        <v>3209</v>
      </c>
      <c r="Z14" s="3">
        <f t="shared" si="27"/>
        <v>105.30000000000018</v>
      </c>
      <c r="AA14" s="17"/>
      <c r="AB14" s="14">
        <f t="shared" si="7"/>
        <v>0</v>
      </c>
      <c r="AC14" s="14">
        <f t="shared" si="8"/>
        <v>0</v>
      </c>
      <c r="AD14" s="14">
        <f t="shared" si="16"/>
        <v>59.383747561643759</v>
      </c>
      <c r="AE14" s="12">
        <f t="shared" si="28"/>
        <v>86.240000000000236</v>
      </c>
      <c r="AF14" s="12">
        <f>X14</f>
        <v>105.30000000000018</v>
      </c>
      <c r="AG14" s="14">
        <f>AW14-AW13</f>
        <v>12.930000000000007</v>
      </c>
      <c r="AH14" s="30">
        <f t="shared" si="18"/>
        <v>8.6200000000000045</v>
      </c>
      <c r="AI14" s="30">
        <f t="shared" si="18"/>
        <v>1.3000000000000043</v>
      </c>
      <c r="AJ14" s="14">
        <f t="shared" si="18"/>
        <v>10.439999999999998</v>
      </c>
      <c r="AK14" s="14">
        <f t="shared" si="18"/>
        <v>0</v>
      </c>
      <c r="AL14" s="14">
        <f t="shared" si="1"/>
        <v>1378.95777</v>
      </c>
      <c r="AM14" s="14">
        <f t="shared" si="2"/>
        <v>1715.6979952830191</v>
      </c>
      <c r="AN14" s="14">
        <f t="shared" si="19"/>
        <v>2094.8679952830189</v>
      </c>
      <c r="AO14" s="14">
        <f>ROUND(AM14*M4,2)</f>
        <v>257.35000000000002</v>
      </c>
      <c r="AP14" s="14">
        <f>ROUND((AM14+AS14)*K5,2)</f>
        <v>171.57</v>
      </c>
      <c r="AQ14" s="14">
        <f>ROUND(AO14*K5,2)</f>
        <v>25.74</v>
      </c>
      <c r="AR14" s="14">
        <f>ROUND((AM14+AP14+AS14)*L5,2)</f>
        <v>207.6</v>
      </c>
      <c r="AS14" s="14">
        <f>ROUND(AM14*J5,2)</f>
        <v>0</v>
      </c>
      <c r="AT14" s="14">
        <f t="shared" si="3"/>
        <v>1853.7724700262352</v>
      </c>
      <c r="AU14" s="14">
        <f t="shared" si="3"/>
        <v>2547.09</v>
      </c>
      <c r="AV14" s="14">
        <f t="shared" si="20"/>
        <v>3110</v>
      </c>
      <c r="AW14" s="14">
        <f t="shared" si="23"/>
        <v>382.06</v>
      </c>
      <c r="AX14" s="14">
        <f t="shared" si="24"/>
        <v>254.71</v>
      </c>
      <c r="AY14" s="14">
        <f t="shared" si="9"/>
        <v>38.21</v>
      </c>
      <c r="AZ14" s="14">
        <f t="shared" si="25"/>
        <v>308.2</v>
      </c>
      <c r="BA14" s="14">
        <f>ROUND(AU14*J5,2)</f>
        <v>0</v>
      </c>
    </row>
    <row r="15" spans="1:54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0"/>
      <c r="K15" s="20"/>
      <c r="L15" s="20"/>
      <c r="M15" s="21"/>
      <c r="N15" s="21"/>
      <c r="O15" s="21"/>
      <c r="P15" s="21"/>
      <c r="Q15" s="22"/>
      <c r="R15" s="22"/>
      <c r="S15" s="22"/>
      <c r="T15" s="22"/>
      <c r="U15" s="22"/>
      <c r="V15" s="21"/>
      <c r="W15" s="23"/>
      <c r="X15" s="23"/>
      <c r="Y15" s="23"/>
      <c r="Z15" s="23"/>
      <c r="AD15" s="22"/>
      <c r="AE15" s="21"/>
      <c r="AF15" s="21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</row>
    <row r="17" spans="1:53" x14ac:dyDescent="0.25">
      <c r="A17" s="28" t="s">
        <v>59</v>
      </c>
      <c r="B17" s="26">
        <f>B8</f>
        <v>44686</v>
      </c>
      <c r="C17" s="26">
        <f>C8</f>
        <v>45102</v>
      </c>
      <c r="D17" s="9">
        <v>44709</v>
      </c>
      <c r="E17" s="9"/>
      <c r="F17" s="27"/>
      <c r="G17" s="27"/>
      <c r="H17" s="16"/>
      <c r="I17" s="16"/>
      <c r="J17" s="11">
        <f>C17-B17</f>
        <v>416</v>
      </c>
      <c r="K17" s="11">
        <f t="shared" ref="K17:K23" si="30">D17-D8</f>
        <v>23</v>
      </c>
      <c r="L17" s="11">
        <f>C17-D17</f>
        <v>393</v>
      </c>
      <c r="M17" s="12">
        <f>F8/J17*K17</f>
        <v>74.769830884572386</v>
      </c>
      <c r="N17" s="12">
        <f t="shared" ref="N17:N22" si="31">F8/J17*L17</f>
        <v>1277.588849462476</v>
      </c>
      <c r="O17" s="12">
        <f>H8/J17*K17</f>
        <v>89.011658653846155</v>
      </c>
      <c r="P17" s="12">
        <f t="shared" ref="P17:P23" si="32">H8/J17*L17</f>
        <v>1520.9383413461539</v>
      </c>
      <c r="Q17" s="14">
        <f>M17</f>
        <v>74.769830884572386</v>
      </c>
      <c r="R17" s="14">
        <f>ROUND(O17,2)</f>
        <v>89.01</v>
      </c>
      <c r="S17" s="14"/>
      <c r="T17" s="14"/>
      <c r="U17" s="14">
        <f t="shared" ref="U17:U23" si="33">R17-R8</f>
        <v>-1520.94</v>
      </c>
      <c r="V17" s="12"/>
      <c r="W17" s="14">
        <f>AU17+AX17+AZ17+BA17</f>
        <v>108.68</v>
      </c>
      <c r="X17" s="3">
        <f>W17-W8</f>
        <v>-1857.07</v>
      </c>
      <c r="Y17" s="3">
        <f t="shared" ref="Y17:Y23" si="34">W17+I8 +($K$5*I8)</f>
        <v>207.68</v>
      </c>
      <c r="Z17" s="3"/>
      <c r="AA17" s="16"/>
      <c r="AB17" s="16"/>
      <c r="AC17" s="16"/>
      <c r="AD17" s="12">
        <f t="shared" ref="AD17:AD23" si="35">Q17-Q8</f>
        <v>-1277.588849462476</v>
      </c>
      <c r="AE17" s="3">
        <f>U17</f>
        <v>-1520.94</v>
      </c>
      <c r="AF17" s="3">
        <f>X17</f>
        <v>-1857.07</v>
      </c>
      <c r="AG17" s="3">
        <f>AW17-AW8</f>
        <v>-228.14000000000001</v>
      </c>
      <c r="AH17" s="3">
        <f>AX17-AX8</f>
        <v>-152.1</v>
      </c>
      <c r="AI17" s="3">
        <f>AY17-AY8</f>
        <v>-22.81</v>
      </c>
      <c r="AJ17" s="3">
        <f>AZ17-AZ8</f>
        <v>-184.03</v>
      </c>
      <c r="AK17" s="3">
        <f>BA17-BA8</f>
        <v>0</v>
      </c>
      <c r="AL17" s="16"/>
      <c r="AM17" s="16"/>
      <c r="AN17" s="16"/>
      <c r="AO17" s="16"/>
      <c r="AP17" s="16"/>
      <c r="AQ17" s="16"/>
      <c r="AR17" s="16"/>
      <c r="AS17" s="16"/>
      <c r="AT17" s="14">
        <f t="shared" ref="AT17:AU23" si="36">Q17</f>
        <v>74.769830884572386</v>
      </c>
      <c r="AU17" s="12">
        <f t="shared" si="36"/>
        <v>89.01</v>
      </c>
      <c r="AV17" s="14">
        <f>W17</f>
        <v>108.68</v>
      </c>
      <c r="AW17" s="14">
        <f>ROUND(AU17*$M$4,2)</f>
        <v>13.35</v>
      </c>
      <c r="AX17" s="24">
        <f>ROUND((AU17+BA17)*$K$5,2)</f>
        <v>8.9</v>
      </c>
      <c r="AY17" s="14">
        <f>ROUND(AW17*$K$5,2)</f>
        <v>1.34</v>
      </c>
      <c r="AZ17" s="24">
        <f>ROUND((AU17+AX17+BA17)*$L$5,2)</f>
        <v>10.77</v>
      </c>
      <c r="BA17" s="14">
        <f>ROUND(AU17*$J$5,2)</f>
        <v>0</v>
      </c>
    </row>
    <row r="18" spans="1:53" x14ac:dyDescent="0.25">
      <c r="A18" s="19" t="s">
        <v>53</v>
      </c>
      <c r="B18" s="26">
        <f>B8</f>
        <v>44686</v>
      </c>
      <c r="C18" s="26">
        <f>C8</f>
        <v>45102</v>
      </c>
      <c r="D18" s="9">
        <v>44678</v>
      </c>
      <c r="E18" s="9"/>
      <c r="F18" s="12"/>
      <c r="G18" s="12"/>
      <c r="H18" s="12"/>
      <c r="I18" s="12"/>
      <c r="J18" s="11">
        <f>C18-B18</f>
        <v>416</v>
      </c>
      <c r="K18" s="11">
        <f t="shared" si="30"/>
        <v>17</v>
      </c>
      <c r="L18" s="11">
        <f>C18-D18</f>
        <v>424</v>
      </c>
      <c r="M18" s="12">
        <f t="shared" ref="M18:M22" si="37">F9/J18*K18</f>
        <v>77.914085453454931</v>
      </c>
      <c r="N18" s="12">
        <f t="shared" si="31"/>
        <v>1943.2689548391111</v>
      </c>
      <c r="O18" s="12">
        <f t="shared" ref="O18:O23" si="38">H9/J18*K18</f>
        <v>92.755024038461542</v>
      </c>
      <c r="P18" s="12">
        <f t="shared" si="32"/>
        <v>2313.4194230769231</v>
      </c>
      <c r="Q18" s="14">
        <f>M9+M18</f>
        <v>-3.3574698558628739</v>
      </c>
      <c r="R18" s="14">
        <f>ROUND(O9+O18,2)</f>
        <v>-4</v>
      </c>
      <c r="S18" s="14"/>
      <c r="T18" s="14"/>
      <c r="U18" s="14">
        <f t="shared" si="33"/>
        <v>-2313.42</v>
      </c>
      <c r="V18" s="12"/>
      <c r="W18" s="14">
        <f t="shared" ref="W18:W23" si="39">AU18+AX18+AZ18+BA18</f>
        <v>-4.8800000000000008</v>
      </c>
      <c r="X18" s="3">
        <f>W18-W9</f>
        <v>-2824.6800000000003</v>
      </c>
      <c r="Y18" s="3">
        <f t="shared" si="34"/>
        <v>94.12</v>
      </c>
      <c r="Z18" s="3"/>
      <c r="AA18" s="17"/>
      <c r="AB18" s="17"/>
      <c r="AC18" s="17"/>
      <c r="AD18" s="12">
        <f t="shared" si="35"/>
        <v>-1943.2689548391111</v>
      </c>
      <c r="AE18" s="3">
        <f>U18</f>
        <v>-2313.42</v>
      </c>
      <c r="AF18" s="3">
        <f>X18</f>
        <v>-2824.6800000000003</v>
      </c>
      <c r="AG18" s="3">
        <f>AW18-AW9</f>
        <v>-347.01000000000005</v>
      </c>
      <c r="AH18" s="3">
        <f>AX18-AX9</f>
        <v>-231.34</v>
      </c>
      <c r="AI18" s="3">
        <f t="shared" ref="AI18:AK23" si="40">AY18-AY9</f>
        <v>-34.700000000000003</v>
      </c>
      <c r="AJ18" s="3">
        <f t="shared" si="40"/>
        <v>-279.92</v>
      </c>
      <c r="AK18" s="3">
        <f t="shared" si="40"/>
        <v>0</v>
      </c>
      <c r="AL18" s="14"/>
      <c r="AM18" s="14"/>
      <c r="AN18" s="14"/>
      <c r="AO18" s="14"/>
      <c r="AP18" s="14"/>
      <c r="AQ18" s="14"/>
      <c r="AR18" s="14"/>
      <c r="AS18" s="14"/>
      <c r="AT18" s="14">
        <f t="shared" si="36"/>
        <v>-3.3574698558628739</v>
      </c>
      <c r="AU18" s="12">
        <f t="shared" si="36"/>
        <v>-4</v>
      </c>
      <c r="AV18" s="14">
        <f>W18</f>
        <v>-4.8800000000000008</v>
      </c>
      <c r="AW18" s="14">
        <f t="shared" ref="AW18:AW23" si="41">ROUND(AU18*$M$4,2)</f>
        <v>-0.6</v>
      </c>
      <c r="AX18" s="24">
        <f t="shared" ref="AX18:AX23" si="42">ROUND((AU18+BA18)*$K$5,2)</f>
        <v>-0.4</v>
      </c>
      <c r="AY18" s="14">
        <f t="shared" ref="AY18:AY23" si="43">ROUND(AW18*$K$5,2)</f>
        <v>-0.06</v>
      </c>
      <c r="AZ18" s="24">
        <f t="shared" ref="AZ18:AZ23" si="44">ROUND((AU18+AX18+BA18)*$L$5,2)</f>
        <v>-0.48</v>
      </c>
      <c r="BA18" s="14">
        <f t="shared" ref="BA18:BA23" si="45">ROUND(AU18*$J$5,2)</f>
        <v>0</v>
      </c>
    </row>
    <row r="19" spans="1:53" x14ac:dyDescent="0.25">
      <c r="A19" s="19" t="s">
        <v>52</v>
      </c>
      <c r="B19" s="26">
        <f>B8</f>
        <v>44686</v>
      </c>
      <c r="C19" s="26">
        <f>C8</f>
        <v>45102</v>
      </c>
      <c r="D19" s="9">
        <v>44854</v>
      </c>
      <c r="E19" s="9"/>
      <c r="F19" s="16"/>
      <c r="G19" s="16"/>
      <c r="H19" s="16"/>
      <c r="I19" s="16"/>
      <c r="J19" s="11">
        <f t="shared" ref="J19:J23" si="46">C19-B19</f>
        <v>416</v>
      </c>
      <c r="K19" s="11">
        <f t="shared" si="30"/>
        <v>188</v>
      </c>
      <c r="L19" s="11">
        <f>C19-D19</f>
        <v>248</v>
      </c>
      <c r="M19" s="12">
        <f t="shared" si="37"/>
        <v>951.0731945389914</v>
      </c>
      <c r="N19" s="12">
        <f t="shared" si="31"/>
        <v>1254.6071927961164</v>
      </c>
      <c r="O19" s="12">
        <f t="shared" si="38"/>
        <v>1132.23</v>
      </c>
      <c r="P19" s="12">
        <f t="shared" si="32"/>
        <v>1493.58</v>
      </c>
      <c r="Q19" s="14">
        <f>M9+M10+M19</f>
        <v>892.71754671598387</v>
      </c>
      <c r="R19" s="14">
        <f>ROUND(O9+O10+O19,2)</f>
        <v>1062.76</v>
      </c>
      <c r="S19" s="14"/>
      <c r="T19" s="14"/>
      <c r="U19" s="14">
        <f t="shared" si="33"/>
        <v>-1493.5800000000002</v>
      </c>
      <c r="V19" s="12"/>
      <c r="W19" s="14">
        <f t="shared" si="39"/>
        <v>1297.6299999999999</v>
      </c>
      <c r="X19" s="3">
        <f>W19-W10</f>
        <v>-1823.6600000000005</v>
      </c>
      <c r="Y19" s="3">
        <f t="shared" si="34"/>
        <v>1396.6299999999999</v>
      </c>
      <c r="Z19" s="3"/>
      <c r="AA19" s="17"/>
      <c r="AB19" s="17"/>
      <c r="AC19" s="17"/>
      <c r="AD19" s="12">
        <f t="shared" si="35"/>
        <v>-1254.6071927961164</v>
      </c>
      <c r="AE19" s="3">
        <f>U19</f>
        <v>-1493.5800000000002</v>
      </c>
      <c r="AF19" s="3">
        <f t="shared" ref="AF19:AF23" si="47">X19</f>
        <v>-1823.6600000000005</v>
      </c>
      <c r="AG19" s="3">
        <f t="shared" ref="AG19:AG23" si="48">AW19-AW10</f>
        <v>-224.04</v>
      </c>
      <c r="AH19" s="3">
        <f>AX19-AX10</f>
        <v>-149.35</v>
      </c>
      <c r="AI19" s="3">
        <f t="shared" si="40"/>
        <v>-22.410000000000004</v>
      </c>
      <c r="AJ19" s="3">
        <f t="shared" si="40"/>
        <v>-180.73</v>
      </c>
      <c r="AK19" s="3">
        <f t="shared" si="40"/>
        <v>0</v>
      </c>
      <c r="AL19" s="12"/>
      <c r="AM19" s="12"/>
      <c r="AN19" s="12"/>
      <c r="AO19" s="12"/>
      <c r="AP19" s="12"/>
      <c r="AQ19" s="12"/>
      <c r="AR19" s="12"/>
      <c r="AS19" s="12"/>
      <c r="AT19" s="14">
        <f t="shared" si="36"/>
        <v>892.71754671598387</v>
      </c>
      <c r="AU19" s="12">
        <f t="shared" si="36"/>
        <v>1062.76</v>
      </c>
      <c r="AV19" s="14">
        <f t="shared" ref="AV19:AV23" si="49">W19</f>
        <v>1297.6299999999999</v>
      </c>
      <c r="AW19" s="14">
        <f t="shared" si="41"/>
        <v>159.41</v>
      </c>
      <c r="AX19" s="24">
        <f t="shared" si="42"/>
        <v>106.28</v>
      </c>
      <c r="AY19" s="14">
        <f t="shared" si="43"/>
        <v>15.94</v>
      </c>
      <c r="AZ19" s="24">
        <f t="shared" si="44"/>
        <v>128.59</v>
      </c>
      <c r="BA19" s="14">
        <f t="shared" si="45"/>
        <v>0</v>
      </c>
    </row>
    <row r="20" spans="1:53" x14ac:dyDescent="0.25">
      <c r="A20" s="19" t="s">
        <v>54</v>
      </c>
      <c r="B20" s="26">
        <f>B8</f>
        <v>44686</v>
      </c>
      <c r="C20" s="26">
        <f>C8</f>
        <v>45102</v>
      </c>
      <c r="D20" s="9">
        <v>44854</v>
      </c>
      <c r="E20" s="9"/>
      <c r="F20" s="27"/>
      <c r="G20" s="27"/>
      <c r="H20" s="16"/>
      <c r="I20" s="16"/>
      <c r="J20" s="11">
        <f t="shared" si="46"/>
        <v>416</v>
      </c>
      <c r="K20" s="11">
        <f t="shared" si="30"/>
        <v>-12</v>
      </c>
      <c r="L20" s="11">
        <f t="shared" ref="L20:L22" si="50">C20-D20</f>
        <v>248</v>
      </c>
      <c r="M20" s="12">
        <f t="shared" si="37"/>
        <v>-40.379716981132077</v>
      </c>
      <c r="N20" s="12">
        <f t="shared" si="31"/>
        <v>834.51415094339632</v>
      </c>
      <c r="O20" s="12">
        <f t="shared" si="38"/>
        <v>-14.959038461538464</v>
      </c>
      <c r="P20" s="12">
        <f t="shared" si="32"/>
        <v>309.15346153846161</v>
      </c>
      <c r="Q20" s="14">
        <f>M9+M10+M11+M20</f>
        <v>913.04462938627671</v>
      </c>
      <c r="R20" s="14">
        <f>ROUND(O9+O10+O11+O20,2)</f>
        <v>1120.07</v>
      </c>
      <c r="S20" s="14"/>
      <c r="T20" s="14"/>
      <c r="U20" s="14">
        <f t="shared" si="33"/>
        <v>-309.15000000000009</v>
      </c>
      <c r="V20" s="16"/>
      <c r="W20" s="14">
        <f t="shared" si="39"/>
        <v>1367.61</v>
      </c>
      <c r="X20" s="3">
        <f>W20-W11</f>
        <v>-377.47000000000025</v>
      </c>
      <c r="Y20" s="3">
        <f t="shared" si="34"/>
        <v>1466.61</v>
      </c>
      <c r="Z20" s="3"/>
      <c r="AA20" s="17"/>
      <c r="AB20" s="17"/>
      <c r="AC20" s="17"/>
      <c r="AD20" s="12">
        <f t="shared" si="35"/>
        <v>-834.51415094339632</v>
      </c>
      <c r="AE20" s="3">
        <f t="shared" ref="AE20:AE23" si="51">U20</f>
        <v>-309.15000000000009</v>
      </c>
      <c r="AF20" s="3">
        <f t="shared" si="47"/>
        <v>-377.47000000000025</v>
      </c>
      <c r="AG20" s="3">
        <f t="shared" si="48"/>
        <v>-46.370000000000005</v>
      </c>
      <c r="AH20" s="3">
        <f>AX20-AX11</f>
        <v>-30.909999999999982</v>
      </c>
      <c r="AI20" s="3">
        <f t="shared" si="40"/>
        <v>-4.6400000000000006</v>
      </c>
      <c r="AJ20" s="3">
        <f t="shared" si="40"/>
        <v>-37.409999999999997</v>
      </c>
      <c r="AK20" s="3">
        <f t="shared" si="40"/>
        <v>0</v>
      </c>
      <c r="AL20" s="12"/>
      <c r="AM20" s="12"/>
      <c r="AN20" s="12"/>
      <c r="AO20" s="12"/>
      <c r="AP20" s="12"/>
      <c r="AQ20" s="12"/>
      <c r="AR20" s="12"/>
      <c r="AS20" s="12"/>
      <c r="AT20" s="14">
        <f t="shared" si="36"/>
        <v>913.04462938627671</v>
      </c>
      <c r="AU20" s="12">
        <f t="shared" si="36"/>
        <v>1120.07</v>
      </c>
      <c r="AV20" s="14">
        <f t="shared" si="49"/>
        <v>1367.61</v>
      </c>
      <c r="AW20" s="14">
        <f t="shared" si="41"/>
        <v>168.01</v>
      </c>
      <c r="AX20" s="24">
        <f t="shared" si="42"/>
        <v>112.01</v>
      </c>
      <c r="AY20" s="14">
        <f t="shared" si="43"/>
        <v>16.8</v>
      </c>
      <c r="AZ20" s="24">
        <f t="shared" si="44"/>
        <v>135.53</v>
      </c>
      <c r="BA20" s="14">
        <f t="shared" si="45"/>
        <v>0</v>
      </c>
    </row>
    <row r="21" spans="1:53" x14ac:dyDescent="0.25">
      <c r="A21" s="19" t="s">
        <v>55</v>
      </c>
      <c r="B21" s="26">
        <f>B8</f>
        <v>44686</v>
      </c>
      <c r="C21" s="26">
        <f>C8</f>
        <v>45102</v>
      </c>
      <c r="D21" s="9">
        <v>44854</v>
      </c>
      <c r="E21" s="9"/>
      <c r="F21" s="27"/>
      <c r="G21" s="27"/>
      <c r="H21" s="16"/>
      <c r="I21" s="16"/>
      <c r="J21" s="11">
        <f t="shared" si="46"/>
        <v>416</v>
      </c>
      <c r="K21" s="11">
        <f t="shared" si="30"/>
        <v>85</v>
      </c>
      <c r="L21" s="11">
        <f t="shared" si="50"/>
        <v>248</v>
      </c>
      <c r="M21" s="12">
        <f t="shared" si="37"/>
        <v>255.4590801886792</v>
      </c>
      <c r="N21" s="12">
        <f t="shared" si="31"/>
        <v>745.33943396226402</v>
      </c>
      <c r="O21" s="12">
        <f t="shared" si="38"/>
        <v>336.17091346153848</v>
      </c>
      <c r="P21" s="12">
        <f t="shared" si="32"/>
        <v>980.82807692307699</v>
      </c>
      <c r="Q21" s="14">
        <f>M9+M10+M11+M12+M21</f>
        <v>882.48071429193703</v>
      </c>
      <c r="R21" s="14">
        <f>ROUND(O9+O10+O11+O12+O21,2)</f>
        <v>1350.28</v>
      </c>
      <c r="S21" s="14"/>
      <c r="T21" s="14"/>
      <c r="U21" s="14">
        <f t="shared" si="33"/>
        <v>-980.83000000000015</v>
      </c>
      <c r="V21" s="16"/>
      <c r="W21" s="14">
        <f t="shared" si="39"/>
        <v>1648.69</v>
      </c>
      <c r="X21" s="3">
        <f t="shared" ref="X21:X23" si="52">W21-W12</f>
        <v>-1197.5900000000001</v>
      </c>
      <c r="Y21" s="3">
        <f t="shared" si="34"/>
        <v>1747.69</v>
      </c>
      <c r="Z21" s="3"/>
      <c r="AA21" s="17"/>
      <c r="AB21" s="17"/>
      <c r="AC21" s="17"/>
      <c r="AD21" s="12">
        <f t="shared" si="35"/>
        <v>-745.33943396226425</v>
      </c>
      <c r="AE21" s="3">
        <f t="shared" si="51"/>
        <v>-980.83000000000015</v>
      </c>
      <c r="AF21" s="3">
        <f t="shared" si="47"/>
        <v>-1197.5900000000001</v>
      </c>
      <c r="AG21" s="3">
        <f t="shared" si="48"/>
        <v>-147.13000000000002</v>
      </c>
      <c r="AH21" s="3">
        <f>AX21-AX12</f>
        <v>-98.080000000000013</v>
      </c>
      <c r="AI21" s="3">
        <f t="shared" si="40"/>
        <v>-14.719999999999999</v>
      </c>
      <c r="AJ21" s="3">
        <f t="shared" si="40"/>
        <v>-118.68</v>
      </c>
      <c r="AK21" s="3">
        <f t="shared" si="40"/>
        <v>0</v>
      </c>
      <c r="AL21" s="12"/>
      <c r="AM21" s="12"/>
      <c r="AN21" s="12"/>
      <c r="AO21" s="12"/>
      <c r="AP21" s="12"/>
      <c r="AQ21" s="12"/>
      <c r="AR21" s="12"/>
      <c r="AS21" s="12"/>
      <c r="AT21" s="14">
        <f t="shared" si="36"/>
        <v>882.48071429193703</v>
      </c>
      <c r="AU21" s="12">
        <f t="shared" si="36"/>
        <v>1350.28</v>
      </c>
      <c r="AV21" s="14">
        <f t="shared" si="49"/>
        <v>1648.69</v>
      </c>
      <c r="AW21" s="14">
        <f t="shared" si="41"/>
        <v>202.54</v>
      </c>
      <c r="AX21" s="24">
        <f t="shared" si="42"/>
        <v>135.03</v>
      </c>
      <c r="AY21" s="14">
        <f t="shared" si="43"/>
        <v>20.25</v>
      </c>
      <c r="AZ21" s="24">
        <f t="shared" si="44"/>
        <v>163.38</v>
      </c>
      <c r="BA21" s="14">
        <f t="shared" si="45"/>
        <v>0</v>
      </c>
    </row>
    <row r="22" spans="1:53" x14ac:dyDescent="0.25">
      <c r="A22" s="19" t="s">
        <v>56</v>
      </c>
      <c r="B22" s="26">
        <f>B8</f>
        <v>44686</v>
      </c>
      <c r="C22" s="26">
        <f>C8</f>
        <v>45102</v>
      </c>
      <c r="D22" s="9">
        <v>44854</v>
      </c>
      <c r="E22" s="9"/>
      <c r="F22" s="27"/>
      <c r="G22" s="27"/>
      <c r="H22" s="16"/>
      <c r="I22" s="16"/>
      <c r="J22" s="11">
        <f t="shared" si="46"/>
        <v>416</v>
      </c>
      <c r="K22" s="11">
        <f t="shared" si="30"/>
        <v>50</v>
      </c>
      <c r="L22" s="11">
        <f t="shared" si="50"/>
        <v>248</v>
      </c>
      <c r="M22" s="12">
        <f t="shared" si="37"/>
        <v>178.21779452054795</v>
      </c>
      <c r="N22" s="12">
        <f t="shared" si="31"/>
        <v>883.96026082191781</v>
      </c>
      <c r="O22" s="12">
        <f t="shared" si="38"/>
        <v>219.51682692307693</v>
      </c>
      <c r="P22" s="12">
        <f t="shared" si="32"/>
        <v>1088.8034615384618</v>
      </c>
      <c r="Q22" s="14">
        <f>M9+M10+M11+M12+M13+M22</f>
        <v>910.42846164267371</v>
      </c>
      <c r="R22" s="14">
        <f>ROUND(O9+O10+O11+O12+O13+O22,2)</f>
        <v>1372.05</v>
      </c>
      <c r="S22" s="14"/>
      <c r="T22" s="14"/>
      <c r="U22" s="14">
        <f t="shared" si="33"/>
        <v>-1088.8</v>
      </c>
      <c r="V22" s="16"/>
      <c r="W22" s="14">
        <f t="shared" si="39"/>
        <v>1675.28</v>
      </c>
      <c r="X22" s="3">
        <f t="shared" si="52"/>
        <v>-1329.4199999999998</v>
      </c>
      <c r="Y22" s="3">
        <f t="shared" si="34"/>
        <v>1774.28</v>
      </c>
      <c r="Z22" s="3"/>
      <c r="AA22" s="17"/>
      <c r="AB22" s="17"/>
      <c r="AC22" s="17"/>
      <c r="AD22" s="12">
        <f t="shared" si="35"/>
        <v>-883.9602608219177</v>
      </c>
      <c r="AE22" s="3">
        <f t="shared" si="51"/>
        <v>-1088.8</v>
      </c>
      <c r="AF22" s="3">
        <f t="shared" si="47"/>
        <v>-1329.4199999999998</v>
      </c>
      <c r="AG22" s="3">
        <f>AW22-AW13</f>
        <v>-163.32</v>
      </c>
      <c r="AH22" s="3">
        <f>AX22-AX13</f>
        <v>-108.88</v>
      </c>
      <c r="AI22" s="3">
        <f>AY22-AY13</f>
        <v>-16.329999999999998</v>
      </c>
      <c r="AJ22" s="3">
        <f>AZ22-AZ13</f>
        <v>-131.73999999999998</v>
      </c>
      <c r="AK22" s="3">
        <f>BA22-BA13</f>
        <v>0</v>
      </c>
      <c r="AL22" s="12"/>
      <c r="AM22" s="12"/>
      <c r="AN22" s="12"/>
      <c r="AO22" s="12"/>
      <c r="AP22" s="12"/>
      <c r="AQ22" s="12"/>
      <c r="AR22" s="12"/>
      <c r="AS22" s="12"/>
      <c r="AT22" s="14">
        <f t="shared" si="36"/>
        <v>910.42846164267371</v>
      </c>
      <c r="AU22" s="12">
        <f t="shared" si="36"/>
        <v>1372.05</v>
      </c>
      <c r="AV22" s="14">
        <f t="shared" si="49"/>
        <v>1675.28</v>
      </c>
      <c r="AW22" s="14">
        <f t="shared" si="41"/>
        <v>205.81</v>
      </c>
      <c r="AX22" s="24">
        <f t="shared" si="42"/>
        <v>137.21</v>
      </c>
      <c r="AY22" s="14">
        <f t="shared" si="43"/>
        <v>20.58</v>
      </c>
      <c r="AZ22" s="24">
        <f t="shared" si="44"/>
        <v>166.02</v>
      </c>
      <c r="BA22" s="14">
        <f t="shared" si="45"/>
        <v>0</v>
      </c>
    </row>
    <row r="23" spans="1:53" x14ac:dyDescent="0.25">
      <c r="A23" s="19" t="s">
        <v>57</v>
      </c>
      <c r="B23" s="26">
        <f>B8</f>
        <v>44686</v>
      </c>
      <c r="C23" s="26">
        <f>C8</f>
        <v>45102</v>
      </c>
      <c r="D23" s="9">
        <v>44854</v>
      </c>
      <c r="E23" s="9"/>
      <c r="F23" s="27"/>
      <c r="G23" s="27"/>
      <c r="H23" s="16"/>
      <c r="I23" s="16"/>
      <c r="J23" s="11">
        <f t="shared" si="46"/>
        <v>416</v>
      </c>
      <c r="K23" s="11">
        <f t="shared" si="30"/>
        <v>30</v>
      </c>
      <c r="L23" s="11">
        <f>C23-D23</f>
        <v>248</v>
      </c>
      <c r="M23" s="12">
        <f>F14/J23*K23</f>
        <v>113.33899479452054</v>
      </c>
      <c r="N23" s="12">
        <f>F14/J23*L23</f>
        <v>936.93569030136985</v>
      </c>
      <c r="O23" s="12">
        <f t="shared" si="38"/>
        <v>141.01658653846152</v>
      </c>
      <c r="P23" s="12">
        <f t="shared" si="32"/>
        <v>1165.7371153846154</v>
      </c>
      <c r="Q23" s="14">
        <f>M9+M10+M11+M12+M13+M14+M23</f>
        <v>916.83677972486544</v>
      </c>
      <c r="R23" s="14">
        <f>ROUND(O9+O10+O11+O12+O13+O14+O23,2)</f>
        <v>1381.36</v>
      </c>
      <c r="S23" s="14"/>
      <c r="T23" s="14"/>
      <c r="U23" s="14">
        <f t="shared" si="33"/>
        <v>-1165.7300000000002</v>
      </c>
      <c r="V23" s="16"/>
      <c r="W23" s="14">
        <f t="shared" si="39"/>
        <v>1686.65</v>
      </c>
      <c r="X23" s="3">
        <f t="shared" si="52"/>
        <v>-1423.35</v>
      </c>
      <c r="Y23" s="3">
        <f t="shared" si="34"/>
        <v>1785.65</v>
      </c>
      <c r="Z23" s="3"/>
      <c r="AA23" s="17"/>
      <c r="AB23" s="17"/>
      <c r="AC23" s="17"/>
      <c r="AD23" s="12">
        <f t="shared" si="35"/>
        <v>-936.93569030136973</v>
      </c>
      <c r="AE23" s="3">
        <f t="shared" si="51"/>
        <v>-1165.7300000000002</v>
      </c>
      <c r="AF23" s="3">
        <f t="shared" si="47"/>
        <v>-1423.35</v>
      </c>
      <c r="AG23" s="3">
        <f t="shared" si="48"/>
        <v>-174.86</v>
      </c>
      <c r="AH23" s="3">
        <f>AX23-AX14</f>
        <v>-116.57000000000002</v>
      </c>
      <c r="AI23" s="3">
        <f t="shared" si="40"/>
        <v>-17.490000000000002</v>
      </c>
      <c r="AJ23" s="3">
        <f>AZ23-AZ14</f>
        <v>-141.04999999999998</v>
      </c>
      <c r="AK23" s="3">
        <f t="shared" si="40"/>
        <v>0</v>
      </c>
      <c r="AL23" s="12"/>
      <c r="AM23" s="12"/>
      <c r="AN23" s="12"/>
      <c r="AO23" s="12"/>
      <c r="AP23" s="12"/>
      <c r="AQ23" s="12"/>
      <c r="AR23" s="12"/>
      <c r="AS23" s="12"/>
      <c r="AT23" s="14">
        <f t="shared" si="36"/>
        <v>916.83677972486544</v>
      </c>
      <c r="AU23" s="12">
        <f t="shared" si="36"/>
        <v>1381.36</v>
      </c>
      <c r="AV23" s="14">
        <f t="shared" si="49"/>
        <v>1686.65</v>
      </c>
      <c r="AW23" s="14">
        <f t="shared" si="41"/>
        <v>207.2</v>
      </c>
      <c r="AX23" s="24">
        <f t="shared" si="42"/>
        <v>138.13999999999999</v>
      </c>
      <c r="AY23" s="14">
        <f t="shared" si="43"/>
        <v>20.72</v>
      </c>
      <c r="AZ23" s="24">
        <f t="shared" si="44"/>
        <v>167.15</v>
      </c>
      <c r="BA23" s="14">
        <f t="shared" si="45"/>
        <v>0</v>
      </c>
    </row>
    <row r="25" spans="1:53" x14ac:dyDescent="0.25">
      <c r="AD25" s="1">
        <v>32.389963636296329</v>
      </c>
      <c r="AE25" s="1">
        <v>38.56</v>
      </c>
      <c r="AF25" s="1">
        <v>47.090000000000146</v>
      </c>
      <c r="AG25" s="1">
        <v>5.7800000000000011</v>
      </c>
      <c r="AH25" s="1">
        <v>3.8599999999999994</v>
      </c>
      <c r="AI25" s="1">
        <v>0.57999999999999918</v>
      </c>
      <c r="AJ25" s="1">
        <v>4.6700000000000017</v>
      </c>
      <c r="AK25" s="1">
        <v>0</v>
      </c>
    </row>
    <row r="27" spans="1:53" x14ac:dyDescent="0.25">
      <c r="AD27" s="1">
        <f>AD25+AD17</f>
        <v>-1245.1988858261798</v>
      </c>
      <c r="AE27" s="1">
        <f t="shared" ref="AE27:AK27" si="53">AE25+AE17</f>
        <v>-1482.38</v>
      </c>
      <c r="AF27" s="1">
        <f>AF25+AF17</f>
        <v>-1809.9799999999998</v>
      </c>
      <c r="AG27" s="1">
        <f t="shared" si="53"/>
        <v>-222.36</v>
      </c>
      <c r="AH27" s="1">
        <f t="shared" si="53"/>
        <v>-148.24</v>
      </c>
      <c r="AI27" s="1">
        <f t="shared" si="53"/>
        <v>-22.23</v>
      </c>
      <c r="AJ27" s="1">
        <f t="shared" si="53"/>
        <v>-179.36</v>
      </c>
      <c r="AK27" s="1">
        <f t="shared" si="53"/>
        <v>0</v>
      </c>
    </row>
  </sheetData>
  <mergeCells count="3">
    <mergeCell ref="K1:L1"/>
    <mergeCell ref="K2:L2"/>
    <mergeCell ref="AL6:AS6"/>
  </mergeCells>
  <conditionalFormatting sqref="T8:T14">
    <cfRule type="expression" dxfId="1" priority="1">
      <formula>R8&lt;&gt;T8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7AE1-6DE4-44AE-90DF-1F66E4BDAC2B}">
  <dimension ref="A1:BB27"/>
  <sheetViews>
    <sheetView workbookViewId="0">
      <selection activeCell="F8" sqref="F8"/>
    </sheetView>
  </sheetViews>
  <sheetFormatPr defaultRowHeight="15" x14ac:dyDescent="0.25"/>
  <cols>
    <col min="1" max="1" width="17" bestFit="1" customWidth="1"/>
    <col min="2" max="2" width="10.140625" bestFit="1" customWidth="1"/>
    <col min="3" max="4" width="11" bestFit="1" customWidth="1"/>
    <col min="5" max="5" width="22.28515625" bestFit="1" customWidth="1"/>
    <col min="6" max="6" width="13.28515625" bestFit="1" customWidth="1"/>
    <col min="7" max="7" width="16" bestFit="1" customWidth="1"/>
    <col min="8" max="8" width="16" style="1" bestFit="1" customWidth="1"/>
    <col min="9" max="9" width="6.42578125" style="1" bestFit="1" customWidth="1"/>
    <col min="10" max="10" width="12.5703125" style="1" bestFit="1" customWidth="1"/>
    <col min="11" max="11" width="10.42578125" style="1" bestFit="1" customWidth="1"/>
    <col min="12" max="12" width="15.140625" style="1" bestFit="1" customWidth="1"/>
    <col min="13" max="13" width="11.85546875" style="1" bestFit="1" customWidth="1"/>
    <col min="14" max="14" width="10.28515625" style="1" customWidth="1"/>
    <col min="15" max="15" width="9.7109375" style="1" bestFit="1" customWidth="1"/>
    <col min="16" max="18" width="11.7109375" style="1" bestFit="1" customWidth="1"/>
    <col min="19" max="19" width="16" style="1" bestFit="1" customWidth="1"/>
    <col min="20" max="20" width="15.7109375" style="1" customWidth="1"/>
    <col min="21" max="21" width="8.42578125" style="1" bestFit="1" customWidth="1"/>
    <col min="22" max="22" width="9.42578125" style="1" bestFit="1" customWidth="1"/>
    <col min="23" max="24" width="8.42578125" style="1" bestFit="1" customWidth="1"/>
    <col min="25" max="26" width="8.42578125" style="1" customWidth="1"/>
    <col min="27" max="27" width="3.85546875" style="1" customWidth="1"/>
    <col min="28" max="28" width="8.28515625" style="1" bestFit="1" customWidth="1"/>
    <col min="29" max="29" width="8.28515625" style="1" customWidth="1"/>
    <col min="30" max="30" width="9.140625" style="1"/>
    <col min="31" max="31" width="10" style="1" bestFit="1" customWidth="1"/>
    <col min="32" max="32" width="9.140625" style="1"/>
    <col min="33" max="33" width="11.85546875" style="1" bestFit="1" customWidth="1"/>
    <col min="34" max="34" width="7.42578125" style="1" bestFit="1" customWidth="1"/>
    <col min="35" max="35" width="11.85546875" style="1" bestFit="1" customWidth="1"/>
    <col min="36" max="36" width="9.5703125" style="1" bestFit="1" customWidth="1"/>
    <col min="37" max="37" width="6.85546875" style="1" bestFit="1" customWidth="1"/>
    <col min="38" max="38" width="9.140625" style="1"/>
    <col min="39" max="39" width="9.85546875" style="1" bestFit="1" customWidth="1"/>
    <col min="40" max="40" width="10.7109375" style="1" bestFit="1" customWidth="1"/>
    <col min="41" max="41" width="11.85546875" style="1" bestFit="1" customWidth="1"/>
    <col min="42" max="42" width="8.7109375" style="1" bestFit="1" customWidth="1"/>
    <col min="43" max="43" width="11.85546875" style="1" customWidth="1"/>
    <col min="44" max="45" width="9.7109375" style="1" bestFit="1" customWidth="1"/>
    <col min="46" max="46" width="9.140625" style="1"/>
    <col min="47" max="47" width="10" style="1" bestFit="1" customWidth="1"/>
    <col min="48" max="48" width="10.7109375" style="1" bestFit="1" customWidth="1"/>
    <col min="49" max="49" width="11.85546875" style="1" bestFit="1" customWidth="1"/>
    <col min="50" max="50" width="8.7109375" style="1" bestFit="1" customWidth="1"/>
    <col min="51" max="51" width="11.85546875" style="1" bestFit="1" customWidth="1"/>
    <col min="52" max="52" width="9.140625" style="1"/>
    <col min="53" max="53" width="6.5703125" style="1" bestFit="1" customWidth="1"/>
    <col min="54" max="54" width="13.28515625" style="1" bestFit="1" customWidth="1"/>
    <col min="55" max="57" width="14.85546875" customWidth="1"/>
    <col min="58" max="58" width="5.140625" bestFit="1" customWidth="1"/>
    <col min="59" max="59" width="8.140625" bestFit="1" customWidth="1"/>
  </cols>
  <sheetData>
    <row r="1" spans="1:54" x14ac:dyDescent="0.25">
      <c r="K1" s="37"/>
      <c r="L1" s="37"/>
    </row>
    <row r="2" spans="1:54" x14ac:dyDescent="0.25">
      <c r="K2" s="38"/>
      <c r="L2" s="38"/>
    </row>
    <row r="3" spans="1:54" ht="30" customHeight="1" x14ac:dyDescent="0.25">
      <c r="J3" s="6" t="s">
        <v>1</v>
      </c>
      <c r="K3" s="6" t="s">
        <v>2</v>
      </c>
      <c r="L3" s="6" t="s">
        <v>3</v>
      </c>
      <c r="M3" s="6" t="s">
        <v>51</v>
      </c>
      <c r="AU3" s="34"/>
      <c r="AV3" s="34"/>
    </row>
    <row r="4" spans="1:54" x14ac:dyDescent="0.25">
      <c r="J4" s="7">
        <v>1</v>
      </c>
      <c r="K4" s="7">
        <v>1.1000000000000001</v>
      </c>
      <c r="L4" s="7">
        <v>1.1100000000000001</v>
      </c>
      <c r="M4" s="18">
        <v>0.15</v>
      </c>
      <c r="AV4" s="29"/>
    </row>
    <row r="5" spans="1:54" x14ac:dyDescent="0.25">
      <c r="J5" s="15">
        <f>J4-1</f>
        <v>0</v>
      </c>
      <c r="K5" s="15">
        <f>K4-1</f>
        <v>0.10000000000000009</v>
      </c>
      <c r="L5" s="15">
        <f>L4-1</f>
        <v>0.1100000000000001</v>
      </c>
      <c r="M5" s="16"/>
    </row>
    <row r="6" spans="1:54" x14ac:dyDescent="0.25">
      <c r="AL6" s="39" t="s">
        <v>67</v>
      </c>
      <c r="AM6" s="40"/>
      <c r="AN6" s="40"/>
      <c r="AO6" s="40"/>
      <c r="AP6" s="40"/>
      <c r="AQ6" s="40"/>
      <c r="AR6" s="40"/>
      <c r="AS6" s="41"/>
    </row>
    <row r="7" spans="1:54" ht="75" x14ac:dyDescent="0.25">
      <c r="A7" s="5" t="s">
        <v>10</v>
      </c>
      <c r="B7" s="4" t="s">
        <v>5</v>
      </c>
      <c r="C7" s="4" t="s">
        <v>4</v>
      </c>
      <c r="D7" s="4" t="s">
        <v>58</v>
      </c>
      <c r="E7" s="4" t="s">
        <v>66</v>
      </c>
      <c r="F7" s="4" t="s">
        <v>68</v>
      </c>
      <c r="G7" s="6" t="s">
        <v>65</v>
      </c>
      <c r="H7" s="6" t="s">
        <v>69</v>
      </c>
      <c r="I7" s="2" t="s">
        <v>60</v>
      </c>
      <c r="J7" s="6" t="s">
        <v>7</v>
      </c>
      <c r="K7" s="6" t="s">
        <v>8</v>
      </c>
      <c r="L7" s="6" t="s">
        <v>9</v>
      </c>
      <c r="M7" s="6" t="s">
        <v>22</v>
      </c>
      <c r="N7" s="6" t="s">
        <v>23</v>
      </c>
      <c r="O7" s="6" t="s">
        <v>18</v>
      </c>
      <c r="P7" s="6" t="s">
        <v>19</v>
      </c>
      <c r="Q7" s="6" t="s">
        <v>24</v>
      </c>
      <c r="R7" s="6" t="s">
        <v>20</v>
      </c>
      <c r="S7" s="6" t="s">
        <v>71</v>
      </c>
      <c r="T7" s="6" t="s">
        <v>70</v>
      </c>
      <c r="U7" s="6" t="s">
        <v>6</v>
      </c>
      <c r="V7" s="6" t="s">
        <v>21</v>
      </c>
      <c r="W7" s="6" t="s">
        <v>48</v>
      </c>
      <c r="X7" s="6" t="s">
        <v>49</v>
      </c>
      <c r="Y7" s="6" t="s">
        <v>62</v>
      </c>
      <c r="Z7" s="6" t="s">
        <v>61</v>
      </c>
      <c r="AA7" s="17"/>
      <c r="AB7" s="6" t="s">
        <v>63</v>
      </c>
      <c r="AC7" s="6" t="s">
        <v>64</v>
      </c>
      <c r="AD7" s="6" t="s">
        <v>25</v>
      </c>
      <c r="AE7" s="6" t="s">
        <v>26</v>
      </c>
      <c r="AF7" s="6" t="s">
        <v>50</v>
      </c>
      <c r="AG7" s="6" t="s">
        <v>27</v>
      </c>
      <c r="AH7" s="6" t="s">
        <v>28</v>
      </c>
      <c r="AI7" s="6" t="s">
        <v>29</v>
      </c>
      <c r="AJ7" s="6" t="s">
        <v>30</v>
      </c>
      <c r="AK7" s="6" t="s">
        <v>31</v>
      </c>
      <c r="AL7" s="6" t="s">
        <v>32</v>
      </c>
      <c r="AM7" s="6" t="s">
        <v>33</v>
      </c>
      <c r="AN7" s="6" t="s">
        <v>34</v>
      </c>
      <c r="AO7" s="6" t="s">
        <v>35</v>
      </c>
      <c r="AP7" s="6" t="s">
        <v>36</v>
      </c>
      <c r="AQ7" s="6" t="s">
        <v>37</v>
      </c>
      <c r="AR7" s="6" t="s">
        <v>38</v>
      </c>
      <c r="AS7" s="6" t="s">
        <v>39</v>
      </c>
      <c r="AT7" s="6" t="s">
        <v>40</v>
      </c>
      <c r="AU7" s="6" t="s">
        <v>41</v>
      </c>
      <c r="AV7" s="6" t="s">
        <v>42</v>
      </c>
      <c r="AW7" s="6" t="s">
        <v>43</v>
      </c>
      <c r="AX7" s="6" t="s">
        <v>44</v>
      </c>
      <c r="AY7" s="6" t="s">
        <v>45</v>
      </c>
      <c r="AZ7" s="6" t="s">
        <v>46</v>
      </c>
      <c r="BA7" s="6" t="s">
        <v>47</v>
      </c>
    </row>
    <row r="8" spans="1:54" x14ac:dyDescent="0.25">
      <c r="A8" s="8" t="s">
        <v>11</v>
      </c>
      <c r="B8" s="9">
        <v>44701</v>
      </c>
      <c r="C8" s="9">
        <v>45102</v>
      </c>
      <c r="D8" s="9">
        <f>B8</f>
        <v>44701</v>
      </c>
      <c r="E8" s="32">
        <v>380.33615514307701</v>
      </c>
      <c r="F8" s="31">
        <f>E8/365*J8</f>
        <v>417.84876222568181</v>
      </c>
      <c r="G8" s="32">
        <v>452.78113707509169</v>
      </c>
      <c r="H8" s="31">
        <f>ROUND(G8/365*J8,2)</f>
        <v>497.44</v>
      </c>
      <c r="I8" s="10">
        <v>90</v>
      </c>
      <c r="J8" s="11">
        <f>C8-B8</f>
        <v>401</v>
      </c>
      <c r="K8" s="11" t="s">
        <v>0</v>
      </c>
      <c r="L8" s="11" t="s">
        <v>0</v>
      </c>
      <c r="M8" s="11" t="s">
        <v>0</v>
      </c>
      <c r="N8" s="11" t="s">
        <v>0</v>
      </c>
      <c r="O8" s="12" t="s">
        <v>0</v>
      </c>
      <c r="P8" s="12" t="s">
        <v>0</v>
      </c>
      <c r="Q8" s="12">
        <f>F8</f>
        <v>417.84876222568181</v>
      </c>
      <c r="R8" s="14">
        <f>H8</f>
        <v>497.44</v>
      </c>
      <c r="S8" s="33">
        <f>G8/365*J8</f>
        <v>497.43900264962133</v>
      </c>
      <c r="T8" s="14">
        <f>R8</f>
        <v>497.44</v>
      </c>
      <c r="U8" s="14">
        <v>0</v>
      </c>
      <c r="V8" s="12">
        <f>AN8</f>
        <v>552.85113707509163</v>
      </c>
      <c r="W8" s="3">
        <f t="shared" ref="W8:W13" si="0">AU8+AX8+AZ8+BA8</f>
        <v>607.36999999999989</v>
      </c>
      <c r="X8" s="3">
        <f>U8*J4*K4*L4</f>
        <v>0</v>
      </c>
      <c r="Y8" s="3">
        <f>W8+(I8*K5)+I8</f>
        <v>706.36999999999989</v>
      </c>
      <c r="Z8" s="3">
        <f>X8</f>
        <v>0</v>
      </c>
      <c r="AA8" s="17"/>
      <c r="AB8" s="14"/>
      <c r="AC8" s="14"/>
      <c r="AD8" s="14">
        <v>0</v>
      </c>
      <c r="AE8" s="12">
        <v>0</v>
      </c>
      <c r="AF8" s="12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f t="shared" ref="AL8:AL14" si="1">E8</f>
        <v>380.33615514307701</v>
      </c>
      <c r="AM8" s="14">
        <f t="shared" ref="AM8:AM14" si="2">G8</f>
        <v>452.78113707509169</v>
      </c>
      <c r="AN8" s="14">
        <f>AM8+AP8+AR8+AS8</f>
        <v>552.85113707509163</v>
      </c>
      <c r="AO8" s="14">
        <f>ROUND(AM8*M4,2)</f>
        <v>67.92</v>
      </c>
      <c r="AP8" s="14">
        <f>ROUND((AM8+AS8)*K5,2)</f>
        <v>45.28</v>
      </c>
      <c r="AQ8" s="14">
        <f>ROUND(AO8*K5,2)</f>
        <v>6.79</v>
      </c>
      <c r="AR8" s="14">
        <f>ROUND((AM8+AP8+AS8)*L5,2)</f>
        <v>54.79</v>
      </c>
      <c r="AS8" s="14">
        <f>ROUND(AM8*J5,2)</f>
        <v>0</v>
      </c>
      <c r="AT8" s="14">
        <f t="shared" ref="AT8:AU14" si="3">Q8</f>
        <v>417.84876222568181</v>
      </c>
      <c r="AU8" s="14">
        <f t="shared" si="3"/>
        <v>497.44</v>
      </c>
      <c r="AV8" s="14">
        <f>W8</f>
        <v>607.36999999999989</v>
      </c>
      <c r="AW8" s="14">
        <f>ROUND(AU8*$M$4,2)</f>
        <v>74.62</v>
      </c>
      <c r="AX8" s="14">
        <f>ROUND((AU8+BA8)*$K$5,2)</f>
        <v>49.74</v>
      </c>
      <c r="AY8" s="14">
        <f>ROUND(AW8*$K$5,2)</f>
        <v>7.46</v>
      </c>
      <c r="AZ8" s="14">
        <f>ROUND((AU8+AX8+BA8)*$L$5,2)</f>
        <v>60.19</v>
      </c>
      <c r="BA8" s="14">
        <f>ROUND(AU8*J5,2)</f>
        <v>0</v>
      </c>
    </row>
    <row r="9" spans="1:54" x14ac:dyDescent="0.25">
      <c r="A9" s="8" t="s">
        <v>12</v>
      </c>
      <c r="B9" s="13">
        <f>B8</f>
        <v>44701</v>
      </c>
      <c r="C9" s="13">
        <f>C8</f>
        <v>45102</v>
      </c>
      <c r="D9" s="9">
        <v>44661</v>
      </c>
      <c r="E9" s="32">
        <v>1672.8612465006499</v>
      </c>
      <c r="F9" s="31">
        <f>E9/365*J9</f>
        <v>1837.8557804020838</v>
      </c>
      <c r="G9" s="32">
        <v>1991.5014839293453</v>
      </c>
      <c r="H9" s="31">
        <f>ROUND(G9/365*J9,2)</f>
        <v>2187.92</v>
      </c>
      <c r="I9" s="10">
        <v>90</v>
      </c>
      <c r="J9" s="11">
        <f>C9-B9</f>
        <v>401</v>
      </c>
      <c r="K9" s="11">
        <f>D9-D8</f>
        <v>-40</v>
      </c>
      <c r="L9" s="11">
        <f>C9-D9</f>
        <v>441</v>
      </c>
      <c r="M9" s="12">
        <f>E8/365*K9</f>
        <v>-41.680674536227613</v>
      </c>
      <c r="N9" s="12">
        <f>E9/365*L9</f>
        <v>2021.1830402925659</v>
      </c>
      <c r="O9" s="12">
        <f t="shared" ref="O9:O14" si="4">G8/365*K9</f>
        <v>-49.619850638366216</v>
      </c>
      <c r="P9" s="12">
        <f>G9/365*L9</f>
        <v>2406.1702860625787</v>
      </c>
      <c r="Q9" s="14">
        <f>M9+N9</f>
        <v>1979.5023657563383</v>
      </c>
      <c r="R9" s="14">
        <f>ROUND(O9+P9,2)</f>
        <v>2356.5500000000002</v>
      </c>
      <c r="S9" s="33">
        <f>S8-(G8/365*L9)+P9</f>
        <v>2356.5504354242125</v>
      </c>
      <c r="T9" s="14">
        <f>ROUND(S9,2)</f>
        <v>2356.5500000000002</v>
      </c>
      <c r="U9" s="14">
        <f t="shared" ref="U9:U14" si="5">R9-R8</f>
        <v>1859.1100000000001</v>
      </c>
      <c r="V9" s="12">
        <f t="shared" ref="V9:V14" si="6">AN9</f>
        <v>2431.6214839293452</v>
      </c>
      <c r="W9" s="3">
        <f>AU9+AX9+AZ9+BA9</f>
        <v>2877.35</v>
      </c>
      <c r="X9" s="3">
        <f>W9-W8</f>
        <v>2269.98</v>
      </c>
      <c r="Y9" s="3">
        <f>W9+(I9*K5)+I9</f>
        <v>2976.35</v>
      </c>
      <c r="Z9" s="3">
        <f>Y9-Y8</f>
        <v>2269.98</v>
      </c>
      <c r="AA9" s="17"/>
      <c r="AB9" s="14">
        <f t="shared" ref="AB9:AB14" si="7">I9-I8</f>
        <v>0</v>
      </c>
      <c r="AC9" s="14">
        <f t="shared" ref="AC9:AC14" si="8">(I9*$K$5)-(I8*$K$5)</f>
        <v>0</v>
      </c>
      <c r="AD9" s="14">
        <f>Q9-Q8</f>
        <v>1561.6536035306565</v>
      </c>
      <c r="AE9" s="12">
        <f>U9</f>
        <v>1859.1100000000001</v>
      </c>
      <c r="AF9" s="12">
        <f>X9</f>
        <v>2269.98</v>
      </c>
      <c r="AG9" s="14">
        <f>AW9-AW8</f>
        <v>278.86</v>
      </c>
      <c r="AH9" s="30">
        <f>AX9-AX8</f>
        <v>185.92</v>
      </c>
      <c r="AI9" s="30">
        <f>AY9-AY8</f>
        <v>27.89</v>
      </c>
      <c r="AJ9" s="14">
        <f>AZ9-AZ8</f>
        <v>224.95</v>
      </c>
      <c r="AK9" s="14">
        <f>BA9-BA8</f>
        <v>0</v>
      </c>
      <c r="AL9" s="14">
        <f t="shared" si="1"/>
        <v>1672.8612465006499</v>
      </c>
      <c r="AM9" s="14">
        <f t="shared" si="2"/>
        <v>1991.5014839293453</v>
      </c>
      <c r="AN9" s="14">
        <f>AM9+AP9+AR9+AS9</f>
        <v>2431.6214839293452</v>
      </c>
      <c r="AO9" s="14">
        <f>ROUND(AM9*M4,2)</f>
        <v>298.73</v>
      </c>
      <c r="AP9" s="14">
        <f>ROUND((AM9+AS9)*K5,2)</f>
        <v>199.15</v>
      </c>
      <c r="AQ9" s="14">
        <f>ROUND(AO9*K5,2)</f>
        <v>29.87</v>
      </c>
      <c r="AR9" s="14">
        <f>ROUND((AM9+AP9+AS9)*L5,2)</f>
        <v>240.97</v>
      </c>
      <c r="AS9" s="14">
        <f>ROUND(AM9*J5,2)</f>
        <v>0</v>
      </c>
      <c r="AT9" s="14">
        <f>Q9</f>
        <v>1979.5023657563383</v>
      </c>
      <c r="AU9" s="14">
        <f t="shared" si="3"/>
        <v>2356.5500000000002</v>
      </c>
      <c r="AV9" s="14">
        <f>W9</f>
        <v>2877.35</v>
      </c>
      <c r="AW9" s="14">
        <f>ROUND(AU9*$M$4,2)</f>
        <v>353.48</v>
      </c>
      <c r="AX9" s="14">
        <f>ROUND((AU9+BA9)*$K$5,2)</f>
        <v>235.66</v>
      </c>
      <c r="AY9" s="14">
        <f t="shared" ref="AY9:AY14" si="9">ROUND(AW9*$K$5,2)</f>
        <v>35.35</v>
      </c>
      <c r="AZ9" s="14">
        <f>ROUND((AU9+AX9+BA9)*$L$5,2)</f>
        <v>285.14</v>
      </c>
      <c r="BA9" s="14">
        <f>ROUND(AU9*J5,2)</f>
        <v>0</v>
      </c>
      <c r="BB9" s="29">
        <f>AU9*M4</f>
        <v>353.48250000000002</v>
      </c>
    </row>
    <row r="10" spans="1:54" x14ac:dyDescent="0.25">
      <c r="A10" s="8" t="s">
        <v>13</v>
      </c>
      <c r="B10" s="13">
        <f>B8</f>
        <v>44701</v>
      </c>
      <c r="C10" s="13">
        <f>C8</f>
        <v>45102</v>
      </c>
      <c r="D10" s="9">
        <v>44666</v>
      </c>
      <c r="E10" s="32">
        <v>1846.49848939751</v>
      </c>
      <c r="F10" s="31">
        <f t="shared" ref="F10:F14" si="10">E10/365*J10</f>
        <v>2028.6188883517848</v>
      </c>
      <c r="G10" s="32">
        <v>2198.2124873779899</v>
      </c>
      <c r="H10" s="31">
        <f t="shared" ref="H10:H14" si="11">ROUND(G10/365*J10,2)</f>
        <v>2415.02</v>
      </c>
      <c r="I10" s="10">
        <v>90</v>
      </c>
      <c r="J10" s="11">
        <f>C10-B10</f>
        <v>401</v>
      </c>
      <c r="K10" s="11">
        <f>D10-D9</f>
        <v>5</v>
      </c>
      <c r="L10" s="11">
        <f t="shared" ref="L10:L14" si="12">C10-D10</f>
        <v>436</v>
      </c>
      <c r="M10" s="12">
        <f t="shared" ref="M10:M14" si="13">E9/365*K10</f>
        <v>22.915907486310271</v>
      </c>
      <c r="N10" s="12">
        <f t="shared" ref="N10:N14" si="14">E10/365*L10</f>
        <v>2205.6803873351078</v>
      </c>
      <c r="O10" s="12">
        <f t="shared" si="4"/>
        <v>27.280842245607467</v>
      </c>
      <c r="P10" s="12">
        <f t="shared" ref="P10:P14" si="15">G10/365*L10</f>
        <v>2625.8099849227497</v>
      </c>
      <c r="Q10" s="14">
        <f>SUM(M9:M10)+N10</f>
        <v>2186.9156202851905</v>
      </c>
      <c r="R10" s="14">
        <f>ROUND(SUM(O9:O10)+P10,2)</f>
        <v>2603.4699999999998</v>
      </c>
      <c r="S10" s="33">
        <f>S9-(G9/365*L10)+P10</f>
        <v>2603.4709765299908</v>
      </c>
      <c r="T10" s="14">
        <f>ROUND(S10,2)</f>
        <v>2603.4699999999998</v>
      </c>
      <c r="U10" s="14">
        <f t="shared" si="5"/>
        <v>246.91999999999962</v>
      </c>
      <c r="V10" s="12">
        <f t="shared" si="6"/>
        <v>2684.0124873779901</v>
      </c>
      <c r="W10" s="3">
        <f t="shared" si="0"/>
        <v>3178.8399999999997</v>
      </c>
      <c r="X10" s="3">
        <f>W10-W9</f>
        <v>301.48999999999978</v>
      </c>
      <c r="Y10" s="3">
        <f>W10+(I10*K5)+I10</f>
        <v>3277.8399999999997</v>
      </c>
      <c r="Z10" s="3">
        <f>Y10-Y9</f>
        <v>301.48999999999978</v>
      </c>
      <c r="AA10" s="17"/>
      <c r="AB10" s="14">
        <f t="shared" si="7"/>
        <v>0</v>
      </c>
      <c r="AC10" s="14">
        <f t="shared" si="8"/>
        <v>0</v>
      </c>
      <c r="AD10" s="14">
        <f t="shared" ref="AD10:AD14" si="16">Q10-Q9</f>
        <v>207.41325452885212</v>
      </c>
      <c r="AE10" s="12">
        <f>U10</f>
        <v>246.91999999999962</v>
      </c>
      <c r="AF10" s="12">
        <f t="shared" ref="AF10:AF13" si="17">X10</f>
        <v>301.48999999999978</v>
      </c>
      <c r="AG10" s="14">
        <f>AW10-AW9</f>
        <v>37.039999999999964</v>
      </c>
      <c r="AH10" s="30">
        <f>AX10-AX9</f>
        <v>24.690000000000026</v>
      </c>
      <c r="AI10" s="30">
        <f t="shared" ref="AG10:AK14" si="18">AY10-AY9</f>
        <v>3.6999999999999957</v>
      </c>
      <c r="AJ10" s="14">
        <f>AZ10-AZ9</f>
        <v>29.879999999999995</v>
      </c>
      <c r="AK10" s="14">
        <f t="shared" si="18"/>
        <v>0</v>
      </c>
      <c r="AL10" s="14">
        <f t="shared" si="1"/>
        <v>1846.49848939751</v>
      </c>
      <c r="AM10" s="14">
        <f t="shared" si="2"/>
        <v>2198.2124873779899</v>
      </c>
      <c r="AN10" s="14">
        <f t="shared" ref="AN10:AN14" si="19">AM10+AP10+AR10+AS10</f>
        <v>2684.0124873779901</v>
      </c>
      <c r="AO10" s="14">
        <f>ROUND(AM10*M4,2)</f>
        <v>329.73</v>
      </c>
      <c r="AP10" s="14">
        <f>ROUND((AM10+AS10)*K5,2)</f>
        <v>219.82</v>
      </c>
      <c r="AQ10" s="14">
        <f>ROUND(AO10*K5,2)</f>
        <v>32.97</v>
      </c>
      <c r="AR10" s="14">
        <f>ROUND((AM10+AP10+AS10)*L5,2)</f>
        <v>265.98</v>
      </c>
      <c r="AS10" s="14">
        <f>ROUND(AM10*J5,2)</f>
        <v>0</v>
      </c>
      <c r="AT10" s="14">
        <f t="shared" si="3"/>
        <v>2186.9156202851905</v>
      </c>
      <c r="AU10" s="14">
        <f t="shared" si="3"/>
        <v>2603.4699999999998</v>
      </c>
      <c r="AV10" s="14">
        <f t="shared" ref="AV10:AV14" si="20">W10</f>
        <v>3178.8399999999997</v>
      </c>
      <c r="AW10" s="14">
        <f>ROUND(AU10*$M$4,2)</f>
        <v>390.52</v>
      </c>
      <c r="AX10" s="14">
        <f>ROUND((AU10+BA10)*$K$5,2)</f>
        <v>260.35000000000002</v>
      </c>
      <c r="AY10" s="14">
        <f t="shared" si="9"/>
        <v>39.049999999999997</v>
      </c>
      <c r="AZ10" s="14">
        <f>ROUND((AU10+AX10+BA10)*$L$5,2)</f>
        <v>315.02</v>
      </c>
      <c r="BA10" s="14">
        <f>ROUND(AU10*J5,2)</f>
        <v>0</v>
      </c>
    </row>
    <row r="11" spans="1:54" x14ac:dyDescent="0.25">
      <c r="A11" s="8" t="s">
        <v>14</v>
      </c>
      <c r="B11" s="13">
        <f>B8</f>
        <v>44701</v>
      </c>
      <c r="C11" s="13">
        <f>C8</f>
        <v>45102</v>
      </c>
      <c r="D11" s="9">
        <v>44866</v>
      </c>
      <c r="E11" s="32">
        <v>1228.2163915094341</v>
      </c>
      <c r="F11" s="31">
        <f t="shared" si="10"/>
        <v>1349.3555424528302</v>
      </c>
      <c r="G11" s="32">
        <v>455</v>
      </c>
      <c r="H11" s="31">
        <f t="shared" si="11"/>
        <v>499.88</v>
      </c>
      <c r="I11" s="10">
        <v>90</v>
      </c>
      <c r="J11" s="11">
        <f>C11-B11</f>
        <v>401</v>
      </c>
      <c r="K11" s="11">
        <f>D11-D10</f>
        <v>200</v>
      </c>
      <c r="L11" s="11">
        <f t="shared" si="12"/>
        <v>236</v>
      </c>
      <c r="M11" s="12">
        <f t="shared" si="13"/>
        <v>1011.7799941904163</v>
      </c>
      <c r="N11" s="12">
        <f t="shared" si="14"/>
        <v>794.13443396226421</v>
      </c>
      <c r="O11" s="12">
        <f t="shared" si="4"/>
        <v>1204.4999930838301</v>
      </c>
      <c r="P11" s="12">
        <f t="shared" si="15"/>
        <v>294.19178082191786</v>
      </c>
      <c r="Q11" s="14">
        <f>SUM(M9:M11)+N11</f>
        <v>1787.1496611027633</v>
      </c>
      <c r="R11" s="14">
        <f>ROUND(SUM(O9:O11)+P11,2)</f>
        <v>1476.35</v>
      </c>
      <c r="S11" s="33">
        <f t="shared" ref="S11:S14" si="21">G11/365*J11</f>
        <v>499.87671232876716</v>
      </c>
      <c r="T11" s="14">
        <f>ROUND(T10-(G10/365*L11)+P11,2)</f>
        <v>1476.35</v>
      </c>
      <c r="U11" s="14">
        <f t="shared" si="5"/>
        <v>-1127.1199999999999</v>
      </c>
      <c r="V11" s="12">
        <f t="shared" si="6"/>
        <v>555.55999999999995</v>
      </c>
      <c r="W11" s="3">
        <f t="shared" si="0"/>
        <v>1802.6299999999997</v>
      </c>
      <c r="X11" s="3">
        <f t="shared" ref="X11:X14" si="22">W11-W10</f>
        <v>-1376.21</v>
      </c>
      <c r="Y11" s="3">
        <f>W11+(I11*K5)+I11</f>
        <v>1901.6299999999997</v>
      </c>
      <c r="Z11" s="3">
        <f>Y11-Y10</f>
        <v>-1376.21</v>
      </c>
      <c r="AA11" s="17"/>
      <c r="AB11" s="14">
        <f t="shared" si="7"/>
        <v>0</v>
      </c>
      <c r="AC11" s="14">
        <f t="shared" si="8"/>
        <v>0</v>
      </c>
      <c r="AD11" s="14">
        <f t="shared" si="16"/>
        <v>-399.7659591824272</v>
      </c>
      <c r="AE11" s="12">
        <f>U11</f>
        <v>-1127.1199999999999</v>
      </c>
      <c r="AF11" s="12">
        <f>X11</f>
        <v>-1376.21</v>
      </c>
      <c r="AG11" s="14">
        <f t="shared" si="18"/>
        <v>-169.07</v>
      </c>
      <c r="AH11" s="30">
        <f t="shared" si="18"/>
        <v>-112.71000000000004</v>
      </c>
      <c r="AI11" s="30">
        <f t="shared" si="18"/>
        <v>-16.899999999999999</v>
      </c>
      <c r="AJ11" s="14">
        <f t="shared" si="18"/>
        <v>-136.38</v>
      </c>
      <c r="AK11" s="14">
        <f t="shared" si="18"/>
        <v>0</v>
      </c>
      <c r="AL11" s="14">
        <f t="shared" si="1"/>
        <v>1228.2163915094341</v>
      </c>
      <c r="AM11" s="14">
        <f t="shared" si="2"/>
        <v>455</v>
      </c>
      <c r="AN11" s="14">
        <f t="shared" si="19"/>
        <v>555.55999999999995</v>
      </c>
      <c r="AO11" s="14">
        <f>ROUND(AM11*M4,2)</f>
        <v>68.25</v>
      </c>
      <c r="AP11" s="14">
        <f>ROUND((AM11+AS11)*K5,2)</f>
        <v>45.5</v>
      </c>
      <c r="AQ11" s="14">
        <f>ROUND(AO11*K5,2)</f>
        <v>6.83</v>
      </c>
      <c r="AR11" s="14">
        <f>ROUND((AM11+AP11+AS11)*L5,2)</f>
        <v>55.06</v>
      </c>
      <c r="AS11" s="14">
        <f>ROUND(AM11*J5,2)</f>
        <v>0</v>
      </c>
      <c r="AT11" s="14">
        <f t="shared" si="3"/>
        <v>1787.1496611027633</v>
      </c>
      <c r="AU11" s="14">
        <f t="shared" si="3"/>
        <v>1476.35</v>
      </c>
      <c r="AV11" s="14">
        <f t="shared" si="20"/>
        <v>1802.6299999999997</v>
      </c>
      <c r="AW11" s="14">
        <f t="shared" ref="AW11:AW14" si="23">ROUND(AU11*$M$4,2)</f>
        <v>221.45</v>
      </c>
      <c r="AX11" s="14">
        <f t="shared" ref="AX11:AX14" si="24">ROUND((AU11+BA11)*$K$5,2)</f>
        <v>147.63999999999999</v>
      </c>
      <c r="AY11" s="14">
        <f t="shared" si="9"/>
        <v>22.15</v>
      </c>
      <c r="AZ11" s="14">
        <f t="shared" ref="AZ11:AZ14" si="25">ROUND((AU11+AX11+BA11)*$L$5,2)</f>
        <v>178.64</v>
      </c>
      <c r="BA11" s="14">
        <f>ROUND(AU11*J5,2)</f>
        <v>0</v>
      </c>
    </row>
    <row r="12" spans="1:54" x14ac:dyDescent="0.25">
      <c r="A12" s="8" t="s">
        <v>16</v>
      </c>
      <c r="B12" s="13">
        <f>B8</f>
        <v>44701</v>
      </c>
      <c r="C12" s="13">
        <f>C8</f>
        <v>45102</v>
      </c>
      <c r="D12" s="9">
        <v>44769</v>
      </c>
      <c r="E12" s="32">
        <v>1096.9713443396226</v>
      </c>
      <c r="F12" s="31">
        <f t="shared" si="10"/>
        <v>1205.1657783018868</v>
      </c>
      <c r="G12" s="32">
        <v>1443.5577830188681</v>
      </c>
      <c r="H12" s="31">
        <f t="shared" si="11"/>
        <v>1585.94</v>
      </c>
      <c r="I12" s="10">
        <v>90</v>
      </c>
      <c r="J12" s="11">
        <f>C12-B12</f>
        <v>401</v>
      </c>
      <c r="K12" s="11">
        <f t="shared" ref="K12:K14" si="26">D12-D11</f>
        <v>-97</v>
      </c>
      <c r="L12" s="11">
        <f t="shared" si="12"/>
        <v>333</v>
      </c>
      <c r="M12" s="12">
        <f t="shared" si="13"/>
        <v>-326.40271226415098</v>
      </c>
      <c r="N12" s="12">
        <f t="shared" si="14"/>
        <v>1000.7985141509433</v>
      </c>
      <c r="O12" s="12">
        <f t="shared" si="4"/>
        <v>-120.91780821917808</v>
      </c>
      <c r="P12" s="12">
        <f t="shared" si="15"/>
        <v>1316.9992924528303</v>
      </c>
      <c r="Q12" s="14">
        <f>SUM(M9:M12)+N12</f>
        <v>1667.4110290272913</v>
      </c>
      <c r="R12" s="14">
        <f>ROUND(SUM(O9:O12)+P12,2)</f>
        <v>2378.2399999999998</v>
      </c>
      <c r="S12" s="33">
        <f t="shared" si="21"/>
        <v>1585.9360849056604</v>
      </c>
      <c r="T12" s="14">
        <f>ROUND(T11-(G11/365*L12)+P12,2)</f>
        <v>2378.2399999999998</v>
      </c>
      <c r="U12" s="14">
        <f t="shared" si="5"/>
        <v>901.88999999999987</v>
      </c>
      <c r="V12" s="12">
        <f t="shared" si="6"/>
        <v>1762.5877830188683</v>
      </c>
      <c r="W12" s="3">
        <f t="shared" si="0"/>
        <v>2903.83</v>
      </c>
      <c r="X12" s="3">
        <f t="shared" si="22"/>
        <v>1101.2000000000003</v>
      </c>
      <c r="Y12" s="3">
        <f>W12+(I12*K5)+I12</f>
        <v>3002.83</v>
      </c>
      <c r="Z12" s="3">
        <f t="shared" ref="Z12:Z14" si="27">Y12-Y11</f>
        <v>1101.2000000000003</v>
      </c>
      <c r="AA12" s="17"/>
      <c r="AB12" s="14">
        <f t="shared" si="7"/>
        <v>0</v>
      </c>
      <c r="AC12" s="14">
        <f t="shared" si="8"/>
        <v>0</v>
      </c>
      <c r="AD12" s="14">
        <f t="shared" si="16"/>
        <v>-119.73863207547197</v>
      </c>
      <c r="AE12" s="12">
        <f t="shared" ref="AE12:AE14" si="28">U12</f>
        <v>901.88999999999987</v>
      </c>
      <c r="AF12" s="12">
        <f t="shared" si="17"/>
        <v>1101.2000000000003</v>
      </c>
      <c r="AG12" s="14">
        <f t="shared" si="18"/>
        <v>135.29000000000002</v>
      </c>
      <c r="AH12" s="30">
        <f t="shared" si="18"/>
        <v>90.18</v>
      </c>
      <c r="AI12" s="30">
        <f t="shared" si="18"/>
        <v>13.520000000000003</v>
      </c>
      <c r="AJ12" s="14">
        <f t="shared" si="18"/>
        <v>109.13</v>
      </c>
      <c r="AK12" s="14">
        <f t="shared" si="18"/>
        <v>0</v>
      </c>
      <c r="AL12" s="14">
        <f t="shared" si="1"/>
        <v>1096.9713443396226</v>
      </c>
      <c r="AM12" s="14">
        <f t="shared" si="2"/>
        <v>1443.5577830188681</v>
      </c>
      <c r="AN12" s="14">
        <f t="shared" si="19"/>
        <v>1762.5877830188683</v>
      </c>
      <c r="AO12" s="14">
        <f>ROUND(AM12*M4,2)</f>
        <v>216.53</v>
      </c>
      <c r="AP12" s="14">
        <f>ROUND((AM12+AS12)*K5,2)</f>
        <v>144.36000000000001</v>
      </c>
      <c r="AQ12" s="14">
        <f>ROUND(AO12*K5,2)</f>
        <v>21.65</v>
      </c>
      <c r="AR12" s="14">
        <f>ROUND((AM12+AP12+AS12)*L5,2)</f>
        <v>174.67</v>
      </c>
      <c r="AS12" s="14">
        <f>ROUND(AM12*J5,2)</f>
        <v>0</v>
      </c>
      <c r="AT12" s="14">
        <f t="shared" si="3"/>
        <v>1667.4110290272913</v>
      </c>
      <c r="AU12" s="14">
        <f t="shared" si="3"/>
        <v>2378.2399999999998</v>
      </c>
      <c r="AV12" s="14">
        <f t="shared" si="20"/>
        <v>2903.83</v>
      </c>
      <c r="AW12" s="14">
        <f t="shared" si="23"/>
        <v>356.74</v>
      </c>
      <c r="AX12" s="14">
        <f t="shared" si="24"/>
        <v>237.82</v>
      </c>
      <c r="AY12" s="14">
        <f t="shared" si="9"/>
        <v>35.67</v>
      </c>
      <c r="AZ12" s="14">
        <f t="shared" si="25"/>
        <v>287.77</v>
      </c>
      <c r="BA12" s="14">
        <f>ROUND(AU12*J5,2)</f>
        <v>0</v>
      </c>
    </row>
    <row r="13" spans="1:54" x14ac:dyDescent="0.25">
      <c r="A13" s="8" t="s">
        <v>17</v>
      </c>
      <c r="B13" s="13">
        <f>B8</f>
        <v>44701</v>
      </c>
      <c r="C13" s="13">
        <f>C8</f>
        <v>45102</v>
      </c>
      <c r="D13" s="9">
        <v>44804</v>
      </c>
      <c r="E13" s="32">
        <v>1300.9899</v>
      </c>
      <c r="F13" s="31">
        <f t="shared" si="10"/>
        <v>1429.3067120547946</v>
      </c>
      <c r="G13" s="32">
        <v>1602.4705188679245</v>
      </c>
      <c r="H13" s="31">
        <f t="shared" si="11"/>
        <v>1760.52</v>
      </c>
      <c r="I13" s="10">
        <v>90</v>
      </c>
      <c r="J13" s="11">
        <f t="shared" ref="J13:J14" si="29">C13-B13</f>
        <v>401</v>
      </c>
      <c r="K13" s="11">
        <f t="shared" si="26"/>
        <v>35</v>
      </c>
      <c r="L13" s="11">
        <f t="shared" si="12"/>
        <v>298</v>
      </c>
      <c r="M13" s="12">
        <f t="shared" si="13"/>
        <v>105.18903301886792</v>
      </c>
      <c r="N13" s="12">
        <f t="shared" si="14"/>
        <v>1062.1780553424658</v>
      </c>
      <c r="O13" s="12">
        <f t="shared" si="4"/>
        <v>138.4233490566038</v>
      </c>
      <c r="P13" s="12">
        <f t="shared" si="15"/>
        <v>1308.318396226415</v>
      </c>
      <c r="Q13" s="14">
        <f>SUM(M9:M13)+N13</f>
        <v>1833.9796032376817</v>
      </c>
      <c r="R13" s="14">
        <f>ROUND(SUM(O9:O13)+P13,2)</f>
        <v>2507.98</v>
      </c>
      <c r="S13" s="33">
        <f t="shared" si="21"/>
        <v>1760.5224056603772</v>
      </c>
      <c r="T13" s="14">
        <f>ROUND(T12-(G12/365*L13)+P13,2)</f>
        <v>2507.98</v>
      </c>
      <c r="U13" s="14">
        <f t="shared" si="5"/>
        <v>129.74000000000024</v>
      </c>
      <c r="V13" s="12">
        <f t="shared" si="6"/>
        <v>1956.6205188679246</v>
      </c>
      <c r="W13" s="3">
        <f t="shared" si="0"/>
        <v>3062.25</v>
      </c>
      <c r="X13" s="3">
        <f t="shared" si="22"/>
        <v>158.42000000000007</v>
      </c>
      <c r="Y13" s="3">
        <f>W13+(I13*K5)+I13</f>
        <v>3161.25</v>
      </c>
      <c r="Z13" s="3">
        <f t="shared" si="27"/>
        <v>158.42000000000007</v>
      </c>
      <c r="AA13" s="17"/>
      <c r="AB13" s="14">
        <f t="shared" si="7"/>
        <v>0</v>
      </c>
      <c r="AC13" s="14">
        <f t="shared" si="8"/>
        <v>0</v>
      </c>
      <c r="AD13" s="14">
        <f t="shared" si="16"/>
        <v>166.56857421039035</v>
      </c>
      <c r="AE13" s="12">
        <f t="shared" si="28"/>
        <v>129.74000000000024</v>
      </c>
      <c r="AF13" s="12">
        <f t="shared" si="17"/>
        <v>158.42000000000007</v>
      </c>
      <c r="AG13" s="14">
        <f t="shared" si="18"/>
        <v>19.45999999999998</v>
      </c>
      <c r="AH13" s="30">
        <f t="shared" si="18"/>
        <v>12.980000000000018</v>
      </c>
      <c r="AI13" s="30">
        <f t="shared" si="18"/>
        <v>1.9499999999999957</v>
      </c>
      <c r="AJ13" s="14">
        <f t="shared" si="18"/>
        <v>15.700000000000045</v>
      </c>
      <c r="AK13" s="14">
        <f t="shared" si="18"/>
        <v>0</v>
      </c>
      <c r="AL13" s="14">
        <f t="shared" si="1"/>
        <v>1300.9899</v>
      </c>
      <c r="AM13" s="14">
        <f t="shared" si="2"/>
        <v>1602.4705188679245</v>
      </c>
      <c r="AN13" s="14">
        <f t="shared" si="19"/>
        <v>1956.6205188679246</v>
      </c>
      <c r="AO13" s="14">
        <f>ROUND(AM13*M4,2)</f>
        <v>240.37</v>
      </c>
      <c r="AP13" s="14">
        <f>ROUND((AM13+AS13)*K5,2)</f>
        <v>160.25</v>
      </c>
      <c r="AQ13" s="14">
        <f>ROUND(AO13*K5,2)</f>
        <v>24.04</v>
      </c>
      <c r="AR13" s="14">
        <f>ROUND((AM13+AP13+AS13)*L5,2)</f>
        <v>193.9</v>
      </c>
      <c r="AS13" s="14">
        <f>ROUND(AM13*J5,2)</f>
        <v>0</v>
      </c>
      <c r="AT13" s="14">
        <f t="shared" si="3"/>
        <v>1833.9796032376817</v>
      </c>
      <c r="AU13" s="14">
        <f t="shared" si="3"/>
        <v>2507.98</v>
      </c>
      <c r="AV13" s="14">
        <f t="shared" si="20"/>
        <v>3062.25</v>
      </c>
      <c r="AW13" s="14">
        <f t="shared" si="23"/>
        <v>376.2</v>
      </c>
      <c r="AX13" s="14">
        <f t="shared" si="24"/>
        <v>250.8</v>
      </c>
      <c r="AY13" s="14">
        <f t="shared" si="9"/>
        <v>37.619999999999997</v>
      </c>
      <c r="AZ13" s="14">
        <f t="shared" si="25"/>
        <v>303.47000000000003</v>
      </c>
      <c r="BA13" s="14">
        <f>ROUND(AU13*J5,2)</f>
        <v>0</v>
      </c>
    </row>
    <row r="14" spans="1:54" x14ac:dyDescent="0.25">
      <c r="A14" s="8" t="s">
        <v>15</v>
      </c>
      <c r="B14" s="13">
        <f>B8</f>
        <v>44701</v>
      </c>
      <c r="C14" s="13">
        <f>C8</f>
        <v>45102</v>
      </c>
      <c r="D14" s="9">
        <v>44824</v>
      </c>
      <c r="E14" s="32">
        <v>1378.95777</v>
      </c>
      <c r="F14" s="31">
        <f t="shared" si="10"/>
        <v>1514.9645637534247</v>
      </c>
      <c r="G14" s="32">
        <v>1715.6979952830191</v>
      </c>
      <c r="H14" s="31">
        <f t="shared" si="11"/>
        <v>1884.92</v>
      </c>
      <c r="I14" s="10">
        <v>90</v>
      </c>
      <c r="J14" s="11">
        <f t="shared" si="29"/>
        <v>401</v>
      </c>
      <c r="K14" s="11">
        <f t="shared" si="26"/>
        <v>20</v>
      </c>
      <c r="L14" s="11">
        <f t="shared" si="12"/>
        <v>278</v>
      </c>
      <c r="M14" s="12">
        <f t="shared" si="13"/>
        <v>71.287117808219179</v>
      </c>
      <c r="N14" s="12">
        <f t="shared" si="14"/>
        <v>1050.2746850958904</v>
      </c>
      <c r="O14" s="12">
        <f t="shared" si="4"/>
        <v>87.806603773584897</v>
      </c>
      <c r="P14" s="12">
        <f t="shared" si="15"/>
        <v>1306.7508018867925</v>
      </c>
      <c r="Q14" s="14">
        <f>SUM(M9:M14)+N14</f>
        <v>1893.3633507993254</v>
      </c>
      <c r="R14" s="14">
        <f>ROUND(SUM(O9:O14)+P14,2)</f>
        <v>2594.2199999999998</v>
      </c>
      <c r="S14" s="33">
        <f t="shared" si="21"/>
        <v>1884.9175235849057</v>
      </c>
      <c r="T14" s="14">
        <f>ROUND(T13-(G13/365*L14)+P14,2)</f>
        <v>2594.2199999999998</v>
      </c>
      <c r="U14" s="14">
        <f t="shared" si="5"/>
        <v>86.239999999999782</v>
      </c>
      <c r="V14" s="12">
        <f t="shared" si="6"/>
        <v>2094.8679952830189</v>
      </c>
      <c r="W14" s="3">
        <f>AU14+AX14+AZ14+BA14</f>
        <v>3167.54</v>
      </c>
      <c r="X14" s="3">
        <f t="shared" si="22"/>
        <v>105.28999999999996</v>
      </c>
      <c r="Y14" s="3">
        <f>W14+(I14*K5)+I14</f>
        <v>3266.54</v>
      </c>
      <c r="Z14" s="3">
        <f t="shared" si="27"/>
        <v>105.28999999999996</v>
      </c>
      <c r="AA14" s="17"/>
      <c r="AB14" s="14">
        <f t="shared" si="7"/>
        <v>0</v>
      </c>
      <c r="AC14" s="14">
        <f t="shared" si="8"/>
        <v>0</v>
      </c>
      <c r="AD14" s="14">
        <f t="shared" si="16"/>
        <v>59.383747561643759</v>
      </c>
      <c r="AE14" s="12">
        <f t="shared" si="28"/>
        <v>86.239999999999782</v>
      </c>
      <c r="AF14" s="12">
        <f>X14</f>
        <v>105.28999999999996</v>
      </c>
      <c r="AG14" s="14">
        <f>AW14-AW13</f>
        <v>12.930000000000007</v>
      </c>
      <c r="AH14" s="30">
        <f t="shared" si="18"/>
        <v>8.6200000000000045</v>
      </c>
      <c r="AI14" s="30">
        <f t="shared" si="18"/>
        <v>1.2899999999999991</v>
      </c>
      <c r="AJ14" s="14">
        <f t="shared" si="18"/>
        <v>10.42999999999995</v>
      </c>
      <c r="AK14" s="14">
        <f t="shared" si="18"/>
        <v>0</v>
      </c>
      <c r="AL14" s="14">
        <f t="shared" si="1"/>
        <v>1378.95777</v>
      </c>
      <c r="AM14" s="14">
        <f t="shared" si="2"/>
        <v>1715.6979952830191</v>
      </c>
      <c r="AN14" s="14">
        <f t="shared" si="19"/>
        <v>2094.8679952830189</v>
      </c>
      <c r="AO14" s="14">
        <f>ROUND(AM14*M4,2)</f>
        <v>257.35000000000002</v>
      </c>
      <c r="AP14" s="14">
        <f>ROUND((AM14+AS14)*K5,2)</f>
        <v>171.57</v>
      </c>
      <c r="AQ14" s="14">
        <f>ROUND(AO14*K5,2)</f>
        <v>25.74</v>
      </c>
      <c r="AR14" s="14">
        <f>ROUND((AM14+AP14+AS14)*L5,2)</f>
        <v>207.6</v>
      </c>
      <c r="AS14" s="14">
        <f>ROUND(AM14*J5,2)</f>
        <v>0</v>
      </c>
      <c r="AT14" s="14">
        <f t="shared" si="3"/>
        <v>1893.3633507993254</v>
      </c>
      <c r="AU14" s="14">
        <f t="shared" si="3"/>
        <v>2594.2199999999998</v>
      </c>
      <c r="AV14" s="14">
        <f t="shared" si="20"/>
        <v>3167.54</v>
      </c>
      <c r="AW14" s="14">
        <f t="shared" si="23"/>
        <v>389.13</v>
      </c>
      <c r="AX14" s="14">
        <f t="shared" si="24"/>
        <v>259.42</v>
      </c>
      <c r="AY14" s="14">
        <f t="shared" si="9"/>
        <v>38.909999999999997</v>
      </c>
      <c r="AZ14" s="14">
        <f t="shared" si="25"/>
        <v>313.89999999999998</v>
      </c>
      <c r="BA14" s="14">
        <f>ROUND(AU14*J5,2)</f>
        <v>0</v>
      </c>
    </row>
    <row r="15" spans="1:54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0"/>
      <c r="K15" s="20"/>
      <c r="L15" s="20"/>
      <c r="M15" s="21"/>
      <c r="N15" s="21"/>
      <c r="O15" s="21"/>
      <c r="P15" s="21"/>
      <c r="Q15" s="22"/>
      <c r="R15" s="22"/>
      <c r="S15" s="22"/>
      <c r="T15" s="22"/>
      <c r="U15" s="22"/>
      <c r="V15" s="21"/>
      <c r="W15" s="23"/>
      <c r="X15" s="23"/>
      <c r="Y15" s="23"/>
      <c r="Z15" s="23"/>
      <c r="AD15" s="22"/>
      <c r="AE15" s="21"/>
      <c r="AF15" s="21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</row>
    <row r="17" spans="1:53" x14ac:dyDescent="0.25">
      <c r="A17" s="28" t="s">
        <v>59</v>
      </c>
      <c r="B17" s="26">
        <f>B8</f>
        <v>44701</v>
      </c>
      <c r="C17" s="26">
        <f>C8</f>
        <v>45102</v>
      </c>
      <c r="D17" s="9">
        <v>44712</v>
      </c>
      <c r="E17" s="9"/>
      <c r="F17" s="27"/>
      <c r="G17" s="27"/>
      <c r="H17" s="16"/>
      <c r="I17" s="16"/>
      <c r="J17" s="11">
        <f>C17-B17</f>
        <v>401</v>
      </c>
      <c r="K17" s="11">
        <f t="shared" ref="K17:K23" si="30">D17-D8</f>
        <v>11</v>
      </c>
      <c r="L17" s="11">
        <f>C17-D17</f>
        <v>390</v>
      </c>
      <c r="M17" s="12">
        <f>F8/J17*K17</f>
        <v>11.462185497462594</v>
      </c>
      <c r="N17" s="12">
        <f t="shared" ref="N17:N22" si="31">F8/J17*L17</f>
        <v>406.38657672821921</v>
      </c>
      <c r="O17" s="12">
        <f>H8/J17*K17</f>
        <v>13.645486284289277</v>
      </c>
      <c r="P17" s="12">
        <f t="shared" ref="P17:P23" si="32">H8/J17*L17</f>
        <v>483.79451371571071</v>
      </c>
      <c r="Q17" s="14">
        <f>M17</f>
        <v>11.462185497462594</v>
      </c>
      <c r="R17" s="14">
        <f>ROUND(O17,2)</f>
        <v>13.65</v>
      </c>
      <c r="S17" s="14"/>
      <c r="T17" s="14"/>
      <c r="U17" s="14">
        <f t="shared" ref="U17:U23" si="33">R17-R8</f>
        <v>-483.79</v>
      </c>
      <c r="V17" s="12"/>
      <c r="W17" s="14">
        <f>AU17+AX17+AZ17+BA17</f>
        <v>16.669999999999998</v>
      </c>
      <c r="X17" s="3">
        <f>W17-W8</f>
        <v>-590.69999999999993</v>
      </c>
      <c r="Y17" s="3">
        <f t="shared" ref="Y17:Y23" si="34">W17+I8 +($K$5*I8)</f>
        <v>115.67000000000002</v>
      </c>
      <c r="Z17" s="3"/>
      <c r="AA17" s="16"/>
      <c r="AB17" s="16"/>
      <c r="AC17" s="16"/>
      <c r="AD17" s="12">
        <f t="shared" ref="AD17:AD23" si="35">Q17-Q8</f>
        <v>-406.38657672821921</v>
      </c>
      <c r="AE17" s="3">
        <f>U17</f>
        <v>-483.79</v>
      </c>
      <c r="AF17" s="3">
        <f>X17</f>
        <v>-590.69999999999993</v>
      </c>
      <c r="AG17" s="3">
        <f>AW17-AW8</f>
        <v>-72.570000000000007</v>
      </c>
      <c r="AH17" s="3">
        <f>AX17-AX8</f>
        <v>-48.370000000000005</v>
      </c>
      <c r="AI17" s="3">
        <f>AY17-AY8</f>
        <v>-7.25</v>
      </c>
      <c r="AJ17" s="3">
        <f>AZ17-AZ8</f>
        <v>-58.54</v>
      </c>
      <c r="AK17" s="3">
        <f>BA17-BA8</f>
        <v>0</v>
      </c>
      <c r="AL17" s="16"/>
      <c r="AM17" s="16"/>
      <c r="AN17" s="16"/>
      <c r="AO17" s="16"/>
      <c r="AP17" s="16"/>
      <c r="AQ17" s="16"/>
      <c r="AR17" s="16"/>
      <c r="AS17" s="16"/>
      <c r="AT17" s="14">
        <f t="shared" ref="AT17:AU23" si="36">Q17</f>
        <v>11.462185497462594</v>
      </c>
      <c r="AU17" s="12">
        <f t="shared" si="36"/>
        <v>13.65</v>
      </c>
      <c r="AV17" s="14">
        <f>W17</f>
        <v>16.669999999999998</v>
      </c>
      <c r="AW17" s="14">
        <f>ROUND(AU17*$M$4,2)</f>
        <v>2.0499999999999998</v>
      </c>
      <c r="AX17" s="24">
        <f>ROUND((AU17+BA17)*$K$5,2)</f>
        <v>1.37</v>
      </c>
      <c r="AY17" s="14">
        <f>ROUND(AW17*$K$5,2)</f>
        <v>0.21</v>
      </c>
      <c r="AZ17" s="24">
        <f>ROUND((AU17+AX17+BA17)*$L$5,2)</f>
        <v>1.65</v>
      </c>
      <c r="BA17" s="14">
        <f>ROUND(AU17*$J$5,2)</f>
        <v>0</v>
      </c>
    </row>
    <row r="18" spans="1:53" x14ac:dyDescent="0.25">
      <c r="A18" s="19" t="s">
        <v>53</v>
      </c>
      <c r="B18" s="26">
        <f>B8</f>
        <v>44701</v>
      </c>
      <c r="C18" s="26">
        <f>C8</f>
        <v>45102</v>
      </c>
      <c r="D18" s="9">
        <v>44678</v>
      </c>
      <c r="E18" s="9"/>
      <c r="F18" s="12"/>
      <c r="G18" s="12"/>
      <c r="H18" s="12"/>
      <c r="I18" s="12"/>
      <c r="J18" s="11">
        <f>C18-B18</f>
        <v>401</v>
      </c>
      <c r="K18" s="11">
        <f t="shared" si="30"/>
        <v>17</v>
      </c>
      <c r="L18" s="11">
        <f>C18-D18</f>
        <v>424</v>
      </c>
      <c r="M18" s="12">
        <f t="shared" ref="M18:M22" si="37">F9/J18*K18</f>
        <v>77.914085453454931</v>
      </c>
      <c r="N18" s="12">
        <f t="shared" si="31"/>
        <v>1943.2689548391111</v>
      </c>
      <c r="O18" s="12">
        <f t="shared" ref="O18:O23" si="38">H9/J18*K18</f>
        <v>92.754713216957612</v>
      </c>
      <c r="P18" s="12">
        <f t="shared" si="32"/>
        <v>2313.4116708229426</v>
      </c>
      <c r="Q18" s="14">
        <f>M9+M18</f>
        <v>36.233410917227317</v>
      </c>
      <c r="R18" s="14">
        <f>ROUND(O9+O18,2)</f>
        <v>43.13</v>
      </c>
      <c r="S18" s="14"/>
      <c r="T18" s="14"/>
      <c r="U18" s="14">
        <f t="shared" si="33"/>
        <v>-2313.42</v>
      </c>
      <c r="V18" s="12"/>
      <c r="W18" s="14">
        <f t="shared" ref="W18:W23" si="39">AU18+AX18+AZ18+BA18</f>
        <v>52.660000000000004</v>
      </c>
      <c r="X18" s="3">
        <f>W18-W9</f>
        <v>-2824.69</v>
      </c>
      <c r="Y18" s="3">
        <f t="shared" si="34"/>
        <v>151.66</v>
      </c>
      <c r="Z18" s="3"/>
      <c r="AA18" s="17"/>
      <c r="AB18" s="17"/>
      <c r="AC18" s="17"/>
      <c r="AD18" s="12">
        <f t="shared" si="35"/>
        <v>-1943.2689548391111</v>
      </c>
      <c r="AE18" s="3">
        <f>U18</f>
        <v>-2313.42</v>
      </c>
      <c r="AF18" s="3">
        <f>X18</f>
        <v>-2824.69</v>
      </c>
      <c r="AG18" s="3">
        <f>AW18-AW9</f>
        <v>-347.01</v>
      </c>
      <c r="AH18" s="3">
        <f>AX18-AX9</f>
        <v>-231.35</v>
      </c>
      <c r="AI18" s="3">
        <f t="shared" ref="AI18:AK23" si="40">AY18-AY9</f>
        <v>-34.700000000000003</v>
      </c>
      <c r="AJ18" s="3">
        <f t="shared" si="40"/>
        <v>-279.91999999999996</v>
      </c>
      <c r="AK18" s="3">
        <f t="shared" si="40"/>
        <v>0</v>
      </c>
      <c r="AL18" s="14"/>
      <c r="AM18" s="14"/>
      <c r="AN18" s="14"/>
      <c r="AO18" s="14"/>
      <c r="AP18" s="14"/>
      <c r="AQ18" s="14"/>
      <c r="AR18" s="14"/>
      <c r="AS18" s="14"/>
      <c r="AT18" s="14">
        <f t="shared" si="36"/>
        <v>36.233410917227317</v>
      </c>
      <c r="AU18" s="12">
        <f t="shared" si="36"/>
        <v>43.13</v>
      </c>
      <c r="AV18" s="14">
        <f>W18</f>
        <v>52.660000000000004</v>
      </c>
      <c r="AW18" s="14">
        <f t="shared" ref="AW18:AW23" si="41">ROUND(AU18*$M$4,2)</f>
        <v>6.47</v>
      </c>
      <c r="AX18" s="24">
        <f t="shared" ref="AX18:AX23" si="42">ROUND((AU18+BA18)*$K$5,2)</f>
        <v>4.3099999999999996</v>
      </c>
      <c r="AY18" s="14">
        <f t="shared" ref="AY18:AY23" si="43">ROUND(AW18*$K$5,2)</f>
        <v>0.65</v>
      </c>
      <c r="AZ18" s="24">
        <f t="shared" ref="AZ18:AZ23" si="44">ROUND((AU18+AX18+BA18)*$L$5,2)</f>
        <v>5.22</v>
      </c>
      <c r="BA18" s="14">
        <f t="shared" ref="BA18:BA23" si="45">ROUND(AU18*$J$5,2)</f>
        <v>0</v>
      </c>
    </row>
    <row r="19" spans="1:53" x14ac:dyDescent="0.25">
      <c r="A19" s="19" t="s">
        <v>52</v>
      </c>
      <c r="B19" s="26">
        <f>B8</f>
        <v>44701</v>
      </c>
      <c r="C19" s="26">
        <f>C8</f>
        <v>45102</v>
      </c>
      <c r="D19" s="9">
        <v>44854</v>
      </c>
      <c r="E19" s="9"/>
      <c r="F19" s="16"/>
      <c r="G19" s="16"/>
      <c r="H19" s="16"/>
      <c r="I19" s="16"/>
      <c r="J19" s="11">
        <f t="shared" ref="J19:J23" si="46">C19-B19</f>
        <v>401</v>
      </c>
      <c r="K19" s="11">
        <f t="shared" si="30"/>
        <v>188</v>
      </c>
      <c r="L19" s="11">
        <f>C19-D19</f>
        <v>248</v>
      </c>
      <c r="M19" s="12">
        <f t="shared" si="37"/>
        <v>951.0731945389914</v>
      </c>
      <c r="N19" s="12">
        <f t="shared" si="31"/>
        <v>1254.6071927961164</v>
      </c>
      <c r="O19" s="12">
        <f t="shared" si="38"/>
        <v>1132.2288279301745</v>
      </c>
      <c r="P19" s="12">
        <f t="shared" si="32"/>
        <v>1493.5784538653365</v>
      </c>
      <c r="Q19" s="14">
        <f>M9+M10+M19</f>
        <v>932.30842748907401</v>
      </c>
      <c r="R19" s="14">
        <f>ROUND(O9+O10+O19,2)</f>
        <v>1109.8900000000001</v>
      </c>
      <c r="S19" s="14"/>
      <c r="T19" s="14"/>
      <c r="U19" s="14">
        <f t="shared" si="33"/>
        <v>-1493.5799999999997</v>
      </c>
      <c r="V19" s="12"/>
      <c r="W19" s="14">
        <f t="shared" si="39"/>
        <v>1355.18</v>
      </c>
      <c r="X19" s="3">
        <f>W19-W10</f>
        <v>-1823.6599999999996</v>
      </c>
      <c r="Y19" s="3">
        <f t="shared" si="34"/>
        <v>1454.18</v>
      </c>
      <c r="Z19" s="3"/>
      <c r="AA19" s="17"/>
      <c r="AB19" s="17"/>
      <c r="AC19" s="17"/>
      <c r="AD19" s="12">
        <f t="shared" si="35"/>
        <v>-1254.6071927961166</v>
      </c>
      <c r="AE19" s="3">
        <f>U19</f>
        <v>-1493.5799999999997</v>
      </c>
      <c r="AF19" s="3">
        <f t="shared" ref="AF19:AF23" si="47">X19</f>
        <v>-1823.6599999999996</v>
      </c>
      <c r="AG19" s="3">
        <f t="shared" ref="AG19:AG23" si="48">AW19-AW10</f>
        <v>-224.04</v>
      </c>
      <c r="AH19" s="3">
        <f>AX19-AX10</f>
        <v>-149.36000000000001</v>
      </c>
      <c r="AI19" s="3">
        <f t="shared" si="40"/>
        <v>-22.4</v>
      </c>
      <c r="AJ19" s="3">
        <f t="shared" si="40"/>
        <v>-180.71999999999997</v>
      </c>
      <c r="AK19" s="3">
        <f t="shared" si="40"/>
        <v>0</v>
      </c>
      <c r="AL19" s="12"/>
      <c r="AM19" s="12"/>
      <c r="AN19" s="12"/>
      <c r="AO19" s="12"/>
      <c r="AP19" s="12"/>
      <c r="AQ19" s="12"/>
      <c r="AR19" s="12"/>
      <c r="AS19" s="12"/>
      <c r="AT19" s="14">
        <f t="shared" si="36"/>
        <v>932.30842748907401</v>
      </c>
      <c r="AU19" s="12">
        <f t="shared" si="36"/>
        <v>1109.8900000000001</v>
      </c>
      <c r="AV19" s="14">
        <f t="shared" ref="AV19:AV23" si="49">W19</f>
        <v>1355.18</v>
      </c>
      <c r="AW19" s="14">
        <f t="shared" si="41"/>
        <v>166.48</v>
      </c>
      <c r="AX19" s="24">
        <f t="shared" si="42"/>
        <v>110.99</v>
      </c>
      <c r="AY19" s="14">
        <f t="shared" si="43"/>
        <v>16.649999999999999</v>
      </c>
      <c r="AZ19" s="24">
        <f t="shared" si="44"/>
        <v>134.30000000000001</v>
      </c>
      <c r="BA19" s="14">
        <f t="shared" si="45"/>
        <v>0</v>
      </c>
    </row>
    <row r="20" spans="1:53" x14ac:dyDescent="0.25">
      <c r="A20" s="19" t="s">
        <v>54</v>
      </c>
      <c r="B20" s="26">
        <f>B8</f>
        <v>44701</v>
      </c>
      <c r="C20" s="26">
        <f>C8</f>
        <v>45102</v>
      </c>
      <c r="D20" s="9">
        <v>44854</v>
      </c>
      <c r="E20" s="9"/>
      <c r="F20" s="27"/>
      <c r="G20" s="27"/>
      <c r="H20" s="16"/>
      <c r="I20" s="16"/>
      <c r="J20" s="11">
        <f t="shared" si="46"/>
        <v>401</v>
      </c>
      <c r="K20" s="11">
        <f t="shared" si="30"/>
        <v>-12</v>
      </c>
      <c r="L20" s="11">
        <f t="shared" ref="L20:L22" si="50">C20-D20</f>
        <v>248</v>
      </c>
      <c r="M20" s="12">
        <f t="shared" si="37"/>
        <v>-40.37971698113207</v>
      </c>
      <c r="N20" s="12">
        <f t="shared" si="31"/>
        <v>834.5141509433962</v>
      </c>
      <c r="O20" s="12">
        <f t="shared" si="38"/>
        <v>-14.959002493765587</v>
      </c>
      <c r="P20" s="12">
        <f t="shared" si="32"/>
        <v>309.15271820448879</v>
      </c>
      <c r="Q20" s="14">
        <f>M9+M10+M11+M20</f>
        <v>952.63551015936685</v>
      </c>
      <c r="R20" s="14">
        <f>ROUND(O9+O10+O11+O20,2)</f>
        <v>1167.2</v>
      </c>
      <c r="S20" s="14"/>
      <c r="T20" s="14"/>
      <c r="U20" s="14">
        <f t="shared" si="33"/>
        <v>-309.14999999999986</v>
      </c>
      <c r="V20" s="16"/>
      <c r="W20" s="14">
        <f t="shared" si="39"/>
        <v>1425.15</v>
      </c>
      <c r="X20" s="3">
        <f>W20-W11</f>
        <v>-377.47999999999956</v>
      </c>
      <c r="Y20" s="3">
        <f t="shared" si="34"/>
        <v>1524.15</v>
      </c>
      <c r="Z20" s="3"/>
      <c r="AA20" s="17"/>
      <c r="AB20" s="17"/>
      <c r="AC20" s="17"/>
      <c r="AD20" s="12">
        <f t="shared" si="35"/>
        <v>-834.51415094339643</v>
      </c>
      <c r="AE20" s="3">
        <f t="shared" ref="AE20:AE23" si="51">U20</f>
        <v>-309.14999999999986</v>
      </c>
      <c r="AF20" s="3">
        <f t="shared" si="47"/>
        <v>-377.47999999999956</v>
      </c>
      <c r="AG20" s="3">
        <f t="shared" si="48"/>
        <v>-46.369999999999976</v>
      </c>
      <c r="AH20" s="3">
        <f>AX20-AX11</f>
        <v>-30.919999999999987</v>
      </c>
      <c r="AI20" s="3">
        <f t="shared" si="40"/>
        <v>-4.639999999999997</v>
      </c>
      <c r="AJ20" s="3">
        <f t="shared" si="40"/>
        <v>-37.409999999999997</v>
      </c>
      <c r="AK20" s="3">
        <f t="shared" si="40"/>
        <v>0</v>
      </c>
      <c r="AL20" s="12"/>
      <c r="AM20" s="12"/>
      <c r="AN20" s="12"/>
      <c r="AO20" s="12"/>
      <c r="AP20" s="12"/>
      <c r="AQ20" s="12"/>
      <c r="AR20" s="12"/>
      <c r="AS20" s="12"/>
      <c r="AT20" s="14">
        <f t="shared" si="36"/>
        <v>952.63551015936685</v>
      </c>
      <c r="AU20" s="12">
        <f t="shared" si="36"/>
        <v>1167.2</v>
      </c>
      <c r="AV20" s="14">
        <f t="shared" si="49"/>
        <v>1425.15</v>
      </c>
      <c r="AW20" s="14">
        <f t="shared" si="41"/>
        <v>175.08</v>
      </c>
      <c r="AX20" s="24">
        <f t="shared" si="42"/>
        <v>116.72</v>
      </c>
      <c r="AY20" s="14">
        <f t="shared" si="43"/>
        <v>17.510000000000002</v>
      </c>
      <c r="AZ20" s="24">
        <f t="shared" si="44"/>
        <v>141.22999999999999</v>
      </c>
      <c r="BA20" s="14">
        <f t="shared" si="45"/>
        <v>0</v>
      </c>
    </row>
    <row r="21" spans="1:53" x14ac:dyDescent="0.25">
      <c r="A21" s="19" t="s">
        <v>55</v>
      </c>
      <c r="B21" s="26">
        <f>B8</f>
        <v>44701</v>
      </c>
      <c r="C21" s="26">
        <f>C8</f>
        <v>45102</v>
      </c>
      <c r="D21" s="9">
        <v>44854</v>
      </c>
      <c r="E21" s="9"/>
      <c r="F21" s="27"/>
      <c r="G21" s="27"/>
      <c r="H21" s="16"/>
      <c r="I21" s="16"/>
      <c r="J21" s="11">
        <f t="shared" si="46"/>
        <v>401</v>
      </c>
      <c r="K21" s="11">
        <f t="shared" si="30"/>
        <v>85</v>
      </c>
      <c r="L21" s="11">
        <f t="shared" si="50"/>
        <v>248</v>
      </c>
      <c r="M21" s="12">
        <f t="shared" si="37"/>
        <v>255.45908018867922</v>
      </c>
      <c r="N21" s="12">
        <f t="shared" si="31"/>
        <v>745.33943396226414</v>
      </c>
      <c r="O21" s="12">
        <f t="shared" si="38"/>
        <v>336.17182044887784</v>
      </c>
      <c r="P21" s="12">
        <f t="shared" si="32"/>
        <v>980.83072319201995</v>
      </c>
      <c r="Q21" s="14">
        <f>M9+M10+M11+M12+M21</f>
        <v>922.07159506502717</v>
      </c>
      <c r="R21" s="14">
        <f>ROUND(O9+O10+O11+O12+O21,2)</f>
        <v>1397.41</v>
      </c>
      <c r="S21" s="14"/>
      <c r="T21" s="14"/>
      <c r="U21" s="14">
        <f t="shared" si="33"/>
        <v>-980.8299999999997</v>
      </c>
      <c r="V21" s="16"/>
      <c r="W21" s="14">
        <f t="shared" si="39"/>
        <v>1706.24</v>
      </c>
      <c r="X21" s="3">
        <f t="shared" ref="X21:X23" si="52">W21-W12</f>
        <v>-1197.5899999999999</v>
      </c>
      <c r="Y21" s="3">
        <f t="shared" si="34"/>
        <v>1805.24</v>
      </c>
      <c r="Z21" s="3"/>
      <c r="AA21" s="17"/>
      <c r="AB21" s="17"/>
      <c r="AC21" s="17"/>
      <c r="AD21" s="12">
        <f t="shared" si="35"/>
        <v>-745.33943396226414</v>
      </c>
      <c r="AE21" s="3">
        <f t="shared" si="51"/>
        <v>-980.8299999999997</v>
      </c>
      <c r="AF21" s="3">
        <f t="shared" si="47"/>
        <v>-1197.5899999999999</v>
      </c>
      <c r="AG21" s="3">
        <f t="shared" si="48"/>
        <v>-147.13</v>
      </c>
      <c r="AH21" s="3">
        <f>AX21-AX12</f>
        <v>-98.079999999999984</v>
      </c>
      <c r="AI21" s="3">
        <f t="shared" si="40"/>
        <v>-14.71</v>
      </c>
      <c r="AJ21" s="3">
        <f t="shared" si="40"/>
        <v>-118.67999999999998</v>
      </c>
      <c r="AK21" s="3">
        <f t="shared" si="40"/>
        <v>0</v>
      </c>
      <c r="AL21" s="12"/>
      <c r="AM21" s="12"/>
      <c r="AN21" s="12"/>
      <c r="AO21" s="12"/>
      <c r="AP21" s="12"/>
      <c r="AQ21" s="12"/>
      <c r="AR21" s="12"/>
      <c r="AS21" s="12"/>
      <c r="AT21" s="14">
        <f t="shared" si="36"/>
        <v>922.07159506502717</v>
      </c>
      <c r="AU21" s="12">
        <f t="shared" si="36"/>
        <v>1397.41</v>
      </c>
      <c r="AV21" s="14">
        <f t="shared" si="49"/>
        <v>1706.24</v>
      </c>
      <c r="AW21" s="14">
        <f t="shared" si="41"/>
        <v>209.61</v>
      </c>
      <c r="AX21" s="24">
        <f t="shared" si="42"/>
        <v>139.74</v>
      </c>
      <c r="AY21" s="14">
        <f t="shared" si="43"/>
        <v>20.96</v>
      </c>
      <c r="AZ21" s="24">
        <f t="shared" si="44"/>
        <v>169.09</v>
      </c>
      <c r="BA21" s="14">
        <f t="shared" si="45"/>
        <v>0</v>
      </c>
    </row>
    <row r="22" spans="1:53" x14ac:dyDescent="0.25">
      <c r="A22" s="19" t="s">
        <v>56</v>
      </c>
      <c r="B22" s="26">
        <f>B8</f>
        <v>44701</v>
      </c>
      <c r="C22" s="26">
        <f>C8</f>
        <v>45102</v>
      </c>
      <c r="D22" s="9">
        <v>44854</v>
      </c>
      <c r="E22" s="9"/>
      <c r="F22" s="27"/>
      <c r="G22" s="27"/>
      <c r="H22" s="16"/>
      <c r="I22" s="16"/>
      <c r="J22" s="11">
        <f t="shared" si="46"/>
        <v>401</v>
      </c>
      <c r="K22" s="11">
        <f t="shared" si="30"/>
        <v>50</v>
      </c>
      <c r="L22" s="11">
        <f t="shared" si="50"/>
        <v>248</v>
      </c>
      <c r="M22" s="12">
        <f t="shared" si="37"/>
        <v>178.21779452054795</v>
      </c>
      <c r="N22" s="12">
        <f t="shared" si="31"/>
        <v>883.96026082191781</v>
      </c>
      <c r="O22" s="12">
        <f t="shared" si="38"/>
        <v>219.51620947630923</v>
      </c>
      <c r="P22" s="12">
        <f t="shared" si="32"/>
        <v>1088.8003990024938</v>
      </c>
      <c r="Q22" s="14">
        <f>M9+M10+M11+M12+M13+M22</f>
        <v>950.01934241576384</v>
      </c>
      <c r="R22" s="14">
        <f>ROUND(O9+O10+O11+O12+O13+O22,2)</f>
        <v>1419.18</v>
      </c>
      <c r="S22" s="14"/>
      <c r="T22" s="14"/>
      <c r="U22" s="14">
        <f t="shared" si="33"/>
        <v>-1088.8</v>
      </c>
      <c r="V22" s="16"/>
      <c r="W22" s="14">
        <f t="shared" si="39"/>
        <v>1732.8200000000002</v>
      </c>
      <c r="X22" s="3">
        <f t="shared" si="52"/>
        <v>-1329.4299999999998</v>
      </c>
      <c r="Y22" s="3">
        <f t="shared" si="34"/>
        <v>1831.8200000000002</v>
      </c>
      <c r="Z22" s="3"/>
      <c r="AA22" s="17"/>
      <c r="AB22" s="17"/>
      <c r="AC22" s="17"/>
      <c r="AD22" s="12">
        <f t="shared" si="35"/>
        <v>-883.96026082191781</v>
      </c>
      <c r="AE22" s="3">
        <f t="shared" si="51"/>
        <v>-1088.8</v>
      </c>
      <c r="AF22" s="3">
        <f t="shared" si="47"/>
        <v>-1329.4299999999998</v>
      </c>
      <c r="AG22" s="3">
        <f>AW22-AW13</f>
        <v>-163.32</v>
      </c>
      <c r="AH22" s="3">
        <f>AX22-AX13</f>
        <v>-108.88000000000002</v>
      </c>
      <c r="AI22" s="3">
        <f>AY22-AY13</f>
        <v>-16.329999999999998</v>
      </c>
      <c r="AJ22" s="3">
        <f>AZ22-AZ13</f>
        <v>-131.75000000000003</v>
      </c>
      <c r="AK22" s="3">
        <f>BA22-BA13</f>
        <v>0</v>
      </c>
      <c r="AL22" s="12"/>
      <c r="AM22" s="12"/>
      <c r="AN22" s="12"/>
      <c r="AO22" s="12"/>
      <c r="AP22" s="12"/>
      <c r="AQ22" s="12"/>
      <c r="AR22" s="12"/>
      <c r="AS22" s="12"/>
      <c r="AT22" s="14">
        <f t="shared" si="36"/>
        <v>950.01934241576384</v>
      </c>
      <c r="AU22" s="12">
        <f t="shared" si="36"/>
        <v>1419.18</v>
      </c>
      <c r="AV22" s="14">
        <f t="shared" si="49"/>
        <v>1732.8200000000002</v>
      </c>
      <c r="AW22" s="14">
        <f t="shared" si="41"/>
        <v>212.88</v>
      </c>
      <c r="AX22" s="24">
        <f t="shared" si="42"/>
        <v>141.91999999999999</v>
      </c>
      <c r="AY22" s="14">
        <f t="shared" si="43"/>
        <v>21.29</v>
      </c>
      <c r="AZ22" s="24">
        <f t="shared" si="44"/>
        <v>171.72</v>
      </c>
      <c r="BA22" s="14">
        <f t="shared" si="45"/>
        <v>0</v>
      </c>
    </row>
    <row r="23" spans="1:53" x14ac:dyDescent="0.25">
      <c r="A23" s="19" t="s">
        <v>57</v>
      </c>
      <c r="B23" s="26">
        <f>B8</f>
        <v>44701</v>
      </c>
      <c r="C23" s="26">
        <f>C8</f>
        <v>45102</v>
      </c>
      <c r="D23" s="9">
        <v>44854</v>
      </c>
      <c r="E23" s="9"/>
      <c r="F23" s="27"/>
      <c r="G23" s="27"/>
      <c r="H23" s="16"/>
      <c r="I23" s="16"/>
      <c r="J23" s="11">
        <f t="shared" si="46"/>
        <v>401</v>
      </c>
      <c r="K23" s="11">
        <f t="shared" si="30"/>
        <v>30</v>
      </c>
      <c r="L23" s="11">
        <f>C23-D23</f>
        <v>248</v>
      </c>
      <c r="M23" s="12">
        <f>F14/J23*K23</f>
        <v>113.33899479452054</v>
      </c>
      <c r="N23" s="12">
        <f>F14/J23*L23</f>
        <v>936.93569030136985</v>
      </c>
      <c r="O23" s="12">
        <f t="shared" si="38"/>
        <v>141.01645885286783</v>
      </c>
      <c r="P23" s="12">
        <f t="shared" si="32"/>
        <v>1165.7360598503742</v>
      </c>
      <c r="Q23" s="14">
        <f>M9+M10+M11+M12+M13+M14+M23</f>
        <v>956.42766049795557</v>
      </c>
      <c r="R23" s="14">
        <f>ROUND(O9+O10+O11+O12+O13+O14+O23,2)</f>
        <v>1428.49</v>
      </c>
      <c r="S23" s="14"/>
      <c r="T23" s="14"/>
      <c r="U23" s="14">
        <f t="shared" si="33"/>
        <v>-1165.7299999999998</v>
      </c>
      <c r="V23" s="16"/>
      <c r="W23" s="14">
        <f t="shared" si="39"/>
        <v>1744.1899999999998</v>
      </c>
      <c r="X23" s="3">
        <f t="shared" si="52"/>
        <v>-1423.3500000000001</v>
      </c>
      <c r="Y23" s="3">
        <f t="shared" si="34"/>
        <v>1843.1899999999998</v>
      </c>
      <c r="Z23" s="3"/>
      <c r="AA23" s="17"/>
      <c r="AB23" s="17"/>
      <c r="AC23" s="17"/>
      <c r="AD23" s="12">
        <f t="shared" si="35"/>
        <v>-936.93569030136985</v>
      </c>
      <c r="AE23" s="3">
        <f t="shared" si="51"/>
        <v>-1165.7299999999998</v>
      </c>
      <c r="AF23" s="3">
        <f t="shared" si="47"/>
        <v>-1423.3500000000001</v>
      </c>
      <c r="AG23" s="3">
        <f t="shared" si="48"/>
        <v>-174.85999999999999</v>
      </c>
      <c r="AH23" s="3">
        <f>AX23-AX14</f>
        <v>-116.57000000000002</v>
      </c>
      <c r="AI23" s="3">
        <f t="shared" si="40"/>
        <v>-17.479999999999997</v>
      </c>
      <c r="AJ23" s="3">
        <f>AZ23-AZ14</f>
        <v>-141.04999999999998</v>
      </c>
      <c r="AK23" s="3">
        <f t="shared" si="40"/>
        <v>0</v>
      </c>
      <c r="AL23" s="12"/>
      <c r="AM23" s="12"/>
      <c r="AN23" s="12"/>
      <c r="AO23" s="12"/>
      <c r="AP23" s="12"/>
      <c r="AQ23" s="12"/>
      <c r="AR23" s="12"/>
      <c r="AS23" s="12"/>
      <c r="AT23" s="14">
        <f t="shared" si="36"/>
        <v>956.42766049795557</v>
      </c>
      <c r="AU23" s="12">
        <f t="shared" si="36"/>
        <v>1428.49</v>
      </c>
      <c r="AV23" s="14">
        <f t="shared" si="49"/>
        <v>1744.1899999999998</v>
      </c>
      <c r="AW23" s="14">
        <f t="shared" si="41"/>
        <v>214.27</v>
      </c>
      <c r="AX23" s="24">
        <f t="shared" si="42"/>
        <v>142.85</v>
      </c>
      <c r="AY23" s="14">
        <f t="shared" si="43"/>
        <v>21.43</v>
      </c>
      <c r="AZ23" s="24">
        <f t="shared" si="44"/>
        <v>172.85</v>
      </c>
      <c r="BA23" s="14">
        <f t="shared" si="45"/>
        <v>0</v>
      </c>
    </row>
    <row r="25" spans="1:53" x14ac:dyDescent="0.25">
      <c r="AD25" s="1">
        <v>32.389963636296329</v>
      </c>
      <c r="AE25" s="1">
        <v>38.56</v>
      </c>
      <c r="AF25" s="1">
        <v>47.090000000000146</v>
      </c>
      <c r="AG25" s="1">
        <v>5.7800000000000011</v>
      </c>
      <c r="AH25" s="1">
        <v>3.8599999999999994</v>
      </c>
      <c r="AI25" s="1">
        <v>0.57999999999999918</v>
      </c>
      <c r="AJ25" s="1">
        <v>4.6700000000000017</v>
      </c>
      <c r="AK25" s="1">
        <v>0</v>
      </c>
    </row>
    <row r="27" spans="1:53" x14ac:dyDescent="0.25">
      <c r="AD27" s="1">
        <f>AD25+AD17</f>
        <v>-373.99661309192288</v>
      </c>
      <c r="AE27" s="1">
        <f t="shared" ref="AE27:AK27" si="53">AE25+AE17</f>
        <v>-445.23</v>
      </c>
      <c r="AF27" s="1">
        <f>AF25+AF17</f>
        <v>-543.60999999999979</v>
      </c>
      <c r="AG27" s="1">
        <f t="shared" si="53"/>
        <v>-66.790000000000006</v>
      </c>
      <c r="AH27" s="1">
        <f t="shared" si="53"/>
        <v>-44.510000000000005</v>
      </c>
      <c r="AI27" s="1">
        <f t="shared" si="53"/>
        <v>-6.6700000000000008</v>
      </c>
      <c r="AJ27" s="1">
        <f t="shared" si="53"/>
        <v>-53.87</v>
      </c>
      <c r="AK27" s="1">
        <f t="shared" si="53"/>
        <v>0</v>
      </c>
    </row>
  </sheetData>
  <mergeCells count="3">
    <mergeCell ref="K1:L1"/>
    <mergeCell ref="K2:L2"/>
    <mergeCell ref="AL6:AS6"/>
  </mergeCells>
  <conditionalFormatting sqref="T8:T14">
    <cfRule type="expression" dxfId="0" priority="1">
      <formula>R8&lt;&gt;T8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257A7-5697-4AA1-A7F2-28ACB0E2E739}">
  <dimension ref="AD15:BF19"/>
  <sheetViews>
    <sheetView workbookViewId="0">
      <selection activeCell="AT17" sqref="AT17"/>
    </sheetView>
  </sheetViews>
  <sheetFormatPr defaultRowHeight="15" x14ac:dyDescent="0.25"/>
  <sheetData>
    <row r="15" spans="30:58" x14ac:dyDescent="0.25">
      <c r="AD15" s="1">
        <f>Sheet3!AD17+Sheet2!AD17+Sheet1!AD9</f>
        <v>-3812.5887702865634</v>
      </c>
      <c r="AE15" s="1">
        <f>Sheet3!AE17+Sheet2!AE17+Sheet1!AE9</f>
        <v>-4240.6000000000004</v>
      </c>
      <c r="AF15" s="1">
        <f>Sheet3!AF17+Sheet2!AF17+Sheet1!AF9</f>
        <v>-5602.4699999999993</v>
      </c>
      <c r="AG15" s="1">
        <f>Sheet3!AG17+Sheet2!AG17+Sheet1!AG9</f>
        <v>-307.42</v>
      </c>
      <c r="AH15" s="1">
        <f>Sheet3!AH17+Sheet2!AH17+Sheet1!AH9</f>
        <v>-463.5</v>
      </c>
      <c r="AI15" s="1">
        <f>Sheet3!AI17+Sheet2!AI17+Sheet1!AI9</f>
        <v>-30.75</v>
      </c>
      <c r="AJ15" s="1">
        <f>Sheet3!AJ17+Sheet2!AJ17+Sheet1!AJ9</f>
        <v>-503.95000000000005</v>
      </c>
      <c r="AK15" s="1">
        <f>Sheet3!AK17+Sheet2!AK17+Sheet1!AK9</f>
        <v>-394.41999999999996</v>
      </c>
      <c r="AL15" s="1">
        <f>Sheet3!AL17+Sheet2!AL17+Sheet1!AL9</f>
        <v>821.00932578182994</v>
      </c>
      <c r="AM15" s="1">
        <f>Sheet3!AM17+Sheet2!AM17+Sheet1!AM9</f>
        <v>815.23828936255802</v>
      </c>
      <c r="AN15" s="1">
        <f>Sheet3!AN17+Sheet2!AN17+Sheet1!AN9</f>
        <v>1153.418289362558</v>
      </c>
      <c r="AO15" s="1">
        <f>Sheet3!AO17+Sheet2!AO17+Sheet1!AO9</f>
        <v>0</v>
      </c>
      <c r="AP15" s="1">
        <f>Sheet3!AP17+Sheet2!AP17+Sheet1!AP9</f>
        <v>96.2</v>
      </c>
      <c r="AQ15" s="1">
        <f>Sheet3!AQ17+Sheet2!AQ17+Sheet1!AQ9</f>
        <v>0</v>
      </c>
      <c r="AR15" s="1">
        <f>Sheet3!AR17+Sheet2!AR17+Sheet1!AR9</f>
        <v>95.24</v>
      </c>
      <c r="AS15" s="1">
        <f>Sheet3!AS17+Sheet2!AS17+Sheet1!AS9</f>
        <v>146.74</v>
      </c>
      <c r="AT15" s="1">
        <f>Sheet3!AT17+Sheet2!AT17+Sheet1!AT9</f>
        <v>1006.3142085770754</v>
      </c>
      <c r="AU15" s="1">
        <f>Sheet3!AU17+Sheet2!AU17+Sheet1!AU9</f>
        <v>1002</v>
      </c>
      <c r="AV15" s="1">
        <f>Sheet3!AV17+Sheet2!AV17+Sheet1!AV9</f>
        <v>1417.6699999999998</v>
      </c>
      <c r="AW15" s="1">
        <f>Sheet3!AW17+Sheet2!AW17+Sheet1!AW9</f>
        <v>-1.0000000000000675E-2</v>
      </c>
      <c r="AX15" s="1">
        <f>Sheet3!AX17+Sheet2!AX17+Sheet1!AX9</f>
        <v>118.24</v>
      </c>
      <c r="AY15" s="1">
        <f>Sheet3!AY17+Sheet2!AY17+Sheet1!AY9</f>
        <v>-9.9999999999999534E-3</v>
      </c>
      <c r="AZ15" s="1">
        <f>Sheet3!AZ17+Sheet2!AZ17+Sheet1!AZ9</f>
        <v>117.06</v>
      </c>
      <c r="BA15" s="1">
        <f>Sheet3!BA17+Sheet2!BA17+Sheet1!BA9</f>
        <v>180.37</v>
      </c>
      <c r="BB15" s="1"/>
      <c r="BC15" s="1">
        <v>2827.22</v>
      </c>
      <c r="BD15" s="1"/>
      <c r="BE15" s="1">
        <v>2177.59</v>
      </c>
      <c r="BF15" s="1">
        <v>136.16999999999999</v>
      </c>
    </row>
    <row r="16" spans="30:58" x14ac:dyDescent="0.25">
      <c r="AT16">
        <v>1143.8599999999999</v>
      </c>
      <c r="AU16">
        <v>1361.74</v>
      </c>
      <c r="AV16">
        <v>1662.68</v>
      </c>
      <c r="AW16">
        <v>204.26</v>
      </c>
      <c r="AX16">
        <v>136.16999999999999</v>
      </c>
      <c r="AY16">
        <v>20.43</v>
      </c>
      <c r="AZ16">
        <v>164.77</v>
      </c>
      <c r="BC16" s="35">
        <v>2126.0700000000002</v>
      </c>
      <c r="BF16">
        <v>7.03</v>
      </c>
    </row>
    <row r="17" spans="48:58" x14ac:dyDescent="0.25">
      <c r="BC17">
        <v>524.25</v>
      </c>
      <c r="BE17">
        <f>10/100*BE15</f>
        <v>217.75900000000001</v>
      </c>
      <c r="BF17">
        <v>0.43</v>
      </c>
    </row>
    <row r="18" spans="48:58" x14ac:dyDescent="0.25">
      <c r="AV18">
        <v>360</v>
      </c>
      <c r="BC18" s="35">
        <v>-2421.9899999999998</v>
      </c>
      <c r="BF18" s="34">
        <v>74.19</v>
      </c>
    </row>
    <row r="19" spans="48:58" x14ac:dyDescent="0.25">
      <c r="AV19">
        <v>36</v>
      </c>
      <c r="BC19">
        <v>-1293.8699999999999</v>
      </c>
    </row>
  </sheetData>
  <hyperlinks>
    <hyperlink ref="BF18" r:id="rId1" display="http://jsonviewer.stack.hu/" xr:uid="{A940CD6B-9887-4D4A-944B-79359A768BB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Sheet6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Setia</dc:creator>
  <cp:lastModifiedBy>Prabir Ranjan Sahoo</cp:lastModifiedBy>
  <dcterms:created xsi:type="dcterms:W3CDTF">2018-03-28T09:29:47Z</dcterms:created>
  <dcterms:modified xsi:type="dcterms:W3CDTF">2022-07-15T14:07:09Z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INTERNAL</vt:lpwstr>
  </property>
  <property fmtid="{D5CDD505-2E9C-101B-9397-08002B2CF9AE}" pid="3" name="Rules">
    <vt:lpwstr/>
  </property>
  <property fmtid="{D5CDD505-2E9C-101B-9397-08002B2CF9AE}" pid="4" name="KID">
    <vt:lpwstr>DCA2666502E1637509765866656955</vt:lpwstr>
  </property>
</Properties>
</file>