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chi\Desktop\financial modeeling\"/>
    </mc:Choice>
  </mc:AlternateContent>
  <xr:revisionPtr revIDLastSave="0" documentId="13_ncr:1_{9D9625A2-1462-4B78-BC29-817A09117ABE}" xr6:coauthVersionLast="47" xr6:coauthVersionMax="47" xr10:uidLastSave="{00000000-0000-0000-0000-000000000000}"/>
  <bookViews>
    <workbookView xWindow="-110" yWindow="-110" windowWidth="19420" windowHeight="10300" firstSheet="8" activeTab="12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Financials" sheetId="7" r:id="rId6"/>
    <sheet name="Cash flow " sheetId="10" r:id="rId7"/>
    <sheet name="Data Sheet" sheetId="6" r:id="rId8"/>
    <sheet name="Balance sheet Raw" sheetId="20" r:id="rId9"/>
    <sheet name="Historical FS" sheetId="8" r:id="rId10"/>
    <sheet name="Ratio Analysis" sheetId="12" r:id="rId11"/>
    <sheet name="Forecasting" sheetId="13" state="hidden" r:id="rId12"/>
    <sheet name="Common size statement" sheetId="14" r:id="rId13"/>
    <sheet name="WACC" sheetId="15" state="hidden" r:id="rId14"/>
    <sheet name="RM" sheetId="17" state="hidden" r:id="rId15"/>
    <sheet name="peer comps" sheetId="9" state="hidden" r:id="rId16"/>
    <sheet name="BETA Peer comaprison " sheetId="16" state="hidden" r:id="rId17"/>
    <sheet name="Intrinsic Growth" sheetId="18" state="hidden" r:id="rId18"/>
    <sheet name="DCF" sheetId="21" state="hidden" r:id="rId19"/>
    <sheet name="Raw FS" sheetId="19" state="hidden" r:id="rId20"/>
  </sheets>
  <externalReferences>
    <externalReference r:id="rId21"/>
  </externalReference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3" l="1"/>
  <c r="D41" i="12"/>
  <c r="E41" i="12"/>
  <c r="F41" i="12"/>
  <c r="G41" i="12"/>
  <c r="H41" i="12"/>
  <c r="I41" i="12"/>
  <c r="J41" i="12"/>
  <c r="K41" i="12"/>
  <c r="L41" i="12"/>
  <c r="C41" i="12"/>
  <c r="D40" i="12"/>
  <c r="E40" i="12"/>
  <c r="F40" i="12"/>
  <c r="G40" i="12"/>
  <c r="H40" i="12"/>
  <c r="I40" i="12"/>
  <c r="J40" i="12"/>
  <c r="K40" i="12"/>
  <c r="L40" i="12"/>
  <c r="C40" i="12"/>
  <c r="E39" i="12"/>
  <c r="D39" i="12"/>
  <c r="C39" i="12"/>
  <c r="F39" i="12"/>
  <c r="G39" i="12"/>
  <c r="H39" i="12"/>
  <c r="I39" i="12"/>
  <c r="J39" i="12"/>
  <c r="K39" i="12"/>
  <c r="L39" i="12"/>
  <c r="D38" i="21"/>
  <c r="D36" i="21"/>
  <c r="D35" i="21"/>
  <c r="D25" i="21"/>
  <c r="F11" i="21"/>
  <c r="G10" i="21"/>
  <c r="H10" i="21" s="1"/>
  <c r="I10" i="21" s="1"/>
  <c r="F10" i="21"/>
  <c r="E10" i="21"/>
  <c r="D23" i="21"/>
  <c r="D24" i="21"/>
  <c r="G13" i="21"/>
  <c r="H13" i="21"/>
  <c r="I13" i="21"/>
  <c r="J13" i="21"/>
  <c r="J15" i="21" s="1"/>
  <c r="F13" i="21"/>
  <c r="J11" i="21"/>
  <c r="E11" i="21"/>
  <c r="E67" i="18"/>
  <c r="H12" i="21"/>
  <c r="I12" i="21" s="1"/>
  <c r="J12" i="21" s="1"/>
  <c r="G12" i="21"/>
  <c r="D19" i="21"/>
  <c r="H70" i="18"/>
  <c r="D17" i="21" s="1"/>
  <c r="F7" i="21" s="1"/>
  <c r="H69" i="18"/>
  <c r="F67" i="18"/>
  <c r="G67" i="18"/>
  <c r="H67" i="18"/>
  <c r="F65" i="18"/>
  <c r="G65" i="18"/>
  <c r="H65" i="18"/>
  <c r="E65" i="18"/>
  <c r="F64" i="18"/>
  <c r="G64" i="18"/>
  <c r="H64" i="18"/>
  <c r="E64" i="18"/>
  <c r="H60" i="18"/>
  <c r="H59" i="18"/>
  <c r="E7" i="21"/>
  <c r="E9" i="21" s="1"/>
  <c r="E5" i="21"/>
  <c r="F5" i="21" s="1"/>
  <c r="G5" i="21" s="1"/>
  <c r="H5" i="21" s="1"/>
  <c r="I5" i="21" s="1"/>
  <c r="J5" i="21" s="1"/>
  <c r="E57" i="18"/>
  <c r="F57" i="18"/>
  <c r="G57" i="18"/>
  <c r="H57" i="18"/>
  <c r="E55" i="18"/>
  <c r="F55" i="18"/>
  <c r="G55" i="18"/>
  <c r="H55" i="18"/>
  <c r="E53" i="18"/>
  <c r="F53" i="18"/>
  <c r="G53" i="18"/>
  <c r="H53" i="18"/>
  <c r="D53" i="18"/>
  <c r="E51" i="18"/>
  <c r="F51" i="18"/>
  <c r="G51" i="18"/>
  <c r="H51" i="18"/>
  <c r="D51" i="18"/>
  <c r="F49" i="18"/>
  <c r="G49" i="18"/>
  <c r="H49" i="18"/>
  <c r="E49" i="18"/>
  <c r="E48" i="18"/>
  <c r="F48" i="18"/>
  <c r="G48" i="18"/>
  <c r="H48" i="18"/>
  <c r="D48" i="18"/>
  <c r="E46" i="18"/>
  <c r="F46" i="18"/>
  <c r="G46" i="18"/>
  <c r="H46" i="18"/>
  <c r="D46" i="18"/>
  <c r="D42" i="18"/>
  <c r="E42" i="18"/>
  <c r="F42" i="18"/>
  <c r="G42" i="18"/>
  <c r="H42" i="18"/>
  <c r="E40" i="18"/>
  <c r="F40" i="18"/>
  <c r="G40" i="18"/>
  <c r="H40" i="18"/>
  <c r="D40" i="18"/>
  <c r="H39" i="18"/>
  <c r="G39" i="18"/>
  <c r="F39" i="18"/>
  <c r="E39" i="18"/>
  <c r="D39" i="18"/>
  <c r="E37" i="18"/>
  <c r="F37" i="18"/>
  <c r="G37" i="18"/>
  <c r="H37" i="18"/>
  <c r="D37" i="18"/>
  <c r="E36" i="18"/>
  <c r="F36" i="18"/>
  <c r="G36" i="18"/>
  <c r="H36" i="18"/>
  <c r="D36" i="18"/>
  <c r="E35" i="18"/>
  <c r="F35" i="18"/>
  <c r="G35" i="18"/>
  <c r="H35" i="18"/>
  <c r="D35" i="18"/>
  <c r="D27" i="18"/>
  <c r="E27" i="18"/>
  <c r="F27" i="18"/>
  <c r="G27" i="18"/>
  <c r="H27" i="18"/>
  <c r="D28" i="18"/>
  <c r="E28" i="18"/>
  <c r="F28" i="18"/>
  <c r="G28" i="18"/>
  <c r="H28" i="18"/>
  <c r="D29" i="18"/>
  <c r="E29" i="18"/>
  <c r="F29" i="18"/>
  <c r="G29" i="18"/>
  <c r="H29" i="18"/>
  <c r="D30" i="18"/>
  <c r="E30" i="18"/>
  <c r="F30" i="18"/>
  <c r="G30" i="18"/>
  <c r="H30" i="18"/>
  <c r="D31" i="18"/>
  <c r="E31" i="18"/>
  <c r="F31" i="18"/>
  <c r="G31" i="18"/>
  <c r="H31" i="18"/>
  <c r="D32" i="18"/>
  <c r="E32" i="18"/>
  <c r="F32" i="18"/>
  <c r="G32" i="18"/>
  <c r="H32" i="18"/>
  <c r="D33" i="18"/>
  <c r="E33" i="18"/>
  <c r="F33" i="18"/>
  <c r="G33" i="18"/>
  <c r="H33" i="18"/>
  <c r="D34" i="18"/>
  <c r="E34" i="18"/>
  <c r="F34" i="18"/>
  <c r="G34" i="18"/>
  <c r="H34" i="18"/>
  <c r="E26" i="18"/>
  <c r="F26" i="18"/>
  <c r="G26" i="18"/>
  <c r="H26" i="18"/>
  <c r="D26" i="18"/>
  <c r="B36" i="18"/>
  <c r="B35" i="18"/>
  <c r="B34" i="18"/>
  <c r="B32" i="18"/>
  <c r="B33" i="18"/>
  <c r="B27" i="18"/>
  <c r="B28" i="18"/>
  <c r="B29" i="18"/>
  <c r="B30" i="18"/>
  <c r="B31" i="18"/>
  <c r="B26" i="18"/>
  <c r="E23" i="18"/>
  <c r="F23" i="18"/>
  <c r="G23" i="18"/>
  <c r="H23" i="18"/>
  <c r="D23" i="18"/>
  <c r="D19" i="18"/>
  <c r="E19" i="18"/>
  <c r="F19" i="18"/>
  <c r="G19" i="18"/>
  <c r="H19" i="18"/>
  <c r="D20" i="18"/>
  <c r="E20" i="18"/>
  <c r="F20" i="18"/>
  <c r="G20" i="18"/>
  <c r="H20" i="18"/>
  <c r="H21" i="18" s="1"/>
  <c r="E18" i="18"/>
  <c r="E21" i="18" s="1"/>
  <c r="F18" i="18"/>
  <c r="G18" i="18"/>
  <c r="H18" i="18"/>
  <c r="D18" i="18"/>
  <c r="B19" i="18"/>
  <c r="B20" i="18"/>
  <c r="B18" i="18"/>
  <c r="E15" i="18"/>
  <c r="F15" i="18"/>
  <c r="G15" i="18"/>
  <c r="H15" i="18"/>
  <c r="D15" i="18"/>
  <c r="D11" i="18"/>
  <c r="E11" i="18"/>
  <c r="F11" i="18"/>
  <c r="G11" i="18"/>
  <c r="H11" i="18"/>
  <c r="D12" i="18"/>
  <c r="E12" i="18"/>
  <c r="F12" i="18"/>
  <c r="G12" i="18"/>
  <c r="H12" i="18"/>
  <c r="D13" i="18"/>
  <c r="E13" i="18"/>
  <c r="F13" i="18"/>
  <c r="G13" i="18"/>
  <c r="H13" i="18"/>
  <c r="D14" i="18"/>
  <c r="E14" i="18"/>
  <c r="F14" i="18"/>
  <c r="G14" i="18"/>
  <c r="H14" i="18"/>
  <c r="E10" i="18"/>
  <c r="F10" i="18"/>
  <c r="G10" i="18"/>
  <c r="H10" i="18"/>
  <c r="D10" i="18"/>
  <c r="B14" i="18"/>
  <c r="B11" i="18"/>
  <c r="B12" i="18"/>
  <c r="B13" i="18"/>
  <c r="B10" i="18"/>
  <c r="D41" i="19"/>
  <c r="E41" i="19"/>
  <c r="F41" i="19"/>
  <c r="G41" i="19"/>
  <c r="H41" i="19"/>
  <c r="I41" i="19"/>
  <c r="J41" i="19"/>
  <c r="K41" i="19"/>
  <c r="L41" i="19"/>
  <c r="C41" i="19"/>
  <c r="C37" i="19"/>
  <c r="D37" i="19"/>
  <c r="E37" i="19"/>
  <c r="F37" i="19"/>
  <c r="G37" i="19"/>
  <c r="H37" i="19"/>
  <c r="I37" i="19"/>
  <c r="J37" i="19"/>
  <c r="K37" i="19"/>
  <c r="L37" i="19"/>
  <c r="C38" i="19"/>
  <c r="D38" i="19"/>
  <c r="E38" i="19"/>
  <c r="F38" i="19"/>
  <c r="G38" i="19"/>
  <c r="H38" i="19"/>
  <c r="I38" i="19"/>
  <c r="J38" i="19"/>
  <c r="K38" i="19"/>
  <c r="L38" i="19"/>
  <c r="C39" i="19"/>
  <c r="D39" i="19"/>
  <c r="E39" i="19"/>
  <c r="F39" i="19"/>
  <c r="G39" i="19"/>
  <c r="H39" i="19"/>
  <c r="I39" i="19"/>
  <c r="J39" i="19"/>
  <c r="K39" i="19"/>
  <c r="L39" i="19"/>
  <c r="C40" i="19"/>
  <c r="D40" i="19"/>
  <c r="E40" i="19"/>
  <c r="F40" i="19"/>
  <c r="G40" i="19"/>
  <c r="H40" i="19"/>
  <c r="I40" i="19"/>
  <c r="J40" i="19"/>
  <c r="K40" i="19"/>
  <c r="L40" i="19"/>
  <c r="D36" i="19"/>
  <c r="E36" i="19"/>
  <c r="F36" i="19"/>
  <c r="G36" i="19"/>
  <c r="H36" i="19"/>
  <c r="I36" i="19"/>
  <c r="J36" i="19"/>
  <c r="K36" i="19"/>
  <c r="L36" i="19"/>
  <c r="C36" i="19"/>
  <c r="B36" i="19"/>
  <c r="B37" i="19"/>
  <c r="B38" i="19"/>
  <c r="B39" i="19"/>
  <c r="B40" i="19"/>
  <c r="B35" i="19"/>
  <c r="C33" i="19"/>
  <c r="D33" i="19"/>
  <c r="E33" i="19"/>
  <c r="F33" i="19"/>
  <c r="G33" i="19"/>
  <c r="H33" i="19"/>
  <c r="I33" i="19"/>
  <c r="J33" i="19"/>
  <c r="K33" i="19"/>
  <c r="L33" i="19"/>
  <c r="D32" i="19"/>
  <c r="E32" i="19"/>
  <c r="F32" i="19"/>
  <c r="G32" i="19"/>
  <c r="H32" i="19"/>
  <c r="I32" i="19"/>
  <c r="J32" i="19"/>
  <c r="K32" i="19"/>
  <c r="L32" i="19"/>
  <c r="C32" i="19"/>
  <c r="B33" i="19"/>
  <c r="B32" i="19"/>
  <c r="D30" i="19"/>
  <c r="E30" i="19"/>
  <c r="F30" i="19"/>
  <c r="G30" i="19"/>
  <c r="H30" i="19"/>
  <c r="I30" i="19"/>
  <c r="J30" i="19"/>
  <c r="K30" i="19"/>
  <c r="L30" i="19"/>
  <c r="C30" i="19"/>
  <c r="C29" i="19"/>
  <c r="D29" i="19"/>
  <c r="E29" i="19"/>
  <c r="F29" i="19"/>
  <c r="G29" i="19"/>
  <c r="H29" i="19"/>
  <c r="I29" i="19"/>
  <c r="J29" i="19"/>
  <c r="K29" i="19"/>
  <c r="L29" i="19"/>
  <c r="C28" i="19"/>
  <c r="D28" i="19"/>
  <c r="E28" i="19"/>
  <c r="F28" i="19"/>
  <c r="G28" i="19"/>
  <c r="H28" i="19"/>
  <c r="I28" i="19"/>
  <c r="J28" i="19"/>
  <c r="K28" i="19"/>
  <c r="L28" i="19"/>
  <c r="C20" i="19"/>
  <c r="D20" i="19"/>
  <c r="E20" i="19"/>
  <c r="F20" i="19"/>
  <c r="G20" i="19"/>
  <c r="H20" i="19"/>
  <c r="I20" i="19"/>
  <c r="J20" i="19"/>
  <c r="K20" i="19"/>
  <c r="L20" i="19"/>
  <c r="C21" i="19"/>
  <c r="D21" i="19"/>
  <c r="E21" i="19"/>
  <c r="F21" i="19"/>
  <c r="G21" i="19"/>
  <c r="H21" i="19"/>
  <c r="I21" i="19"/>
  <c r="J21" i="19"/>
  <c r="K21" i="19"/>
  <c r="L21" i="19"/>
  <c r="C22" i="19"/>
  <c r="D22" i="19"/>
  <c r="E22" i="19"/>
  <c r="F22" i="19"/>
  <c r="G22" i="19"/>
  <c r="H22" i="19"/>
  <c r="I22" i="19"/>
  <c r="J22" i="19"/>
  <c r="K22" i="19"/>
  <c r="L22" i="19"/>
  <c r="C23" i="19"/>
  <c r="D23" i="19"/>
  <c r="E23" i="19"/>
  <c r="F23" i="19"/>
  <c r="G23" i="19"/>
  <c r="H23" i="19"/>
  <c r="I23" i="19"/>
  <c r="J23" i="19"/>
  <c r="K23" i="19"/>
  <c r="L23" i="19"/>
  <c r="C24" i="19"/>
  <c r="D24" i="19"/>
  <c r="E24" i="19"/>
  <c r="F24" i="19"/>
  <c r="G24" i="19"/>
  <c r="H24" i="19"/>
  <c r="I24" i="19"/>
  <c r="J24" i="19"/>
  <c r="K24" i="19"/>
  <c r="L24" i="19"/>
  <c r="C25" i="19"/>
  <c r="D25" i="19"/>
  <c r="E25" i="19"/>
  <c r="F25" i="19"/>
  <c r="G25" i="19"/>
  <c r="H25" i="19"/>
  <c r="I25" i="19"/>
  <c r="J25" i="19"/>
  <c r="K25" i="19"/>
  <c r="L25" i="19"/>
  <c r="C26" i="19"/>
  <c r="D26" i="19"/>
  <c r="E26" i="19"/>
  <c r="F26" i="19"/>
  <c r="G26" i="19"/>
  <c r="H26" i="19"/>
  <c r="I26" i="19"/>
  <c r="J26" i="19"/>
  <c r="K26" i="19"/>
  <c r="L26" i="19"/>
  <c r="C27" i="19"/>
  <c r="D27" i="19"/>
  <c r="E27" i="19"/>
  <c r="F27" i="19"/>
  <c r="G27" i="19"/>
  <c r="H27" i="19"/>
  <c r="I27" i="19"/>
  <c r="J27" i="19"/>
  <c r="K27" i="19"/>
  <c r="L27" i="19"/>
  <c r="D19" i="19"/>
  <c r="E19" i="19"/>
  <c r="F19" i="19"/>
  <c r="G19" i="19"/>
  <c r="H19" i="19"/>
  <c r="I19" i="19"/>
  <c r="J19" i="19"/>
  <c r="K19" i="19"/>
  <c r="L19" i="19"/>
  <c r="C19" i="19"/>
  <c r="B20" i="19"/>
  <c r="B21" i="19"/>
  <c r="B22" i="19"/>
  <c r="B23" i="19"/>
  <c r="B24" i="19"/>
  <c r="B25" i="19"/>
  <c r="B26" i="19"/>
  <c r="B27" i="19"/>
  <c r="B28" i="19"/>
  <c r="B29" i="19"/>
  <c r="B19" i="19"/>
  <c r="B18" i="19"/>
  <c r="D16" i="19"/>
  <c r="E16" i="19"/>
  <c r="F16" i="19"/>
  <c r="G16" i="19"/>
  <c r="H16" i="19"/>
  <c r="I16" i="19"/>
  <c r="J16" i="19"/>
  <c r="K16" i="19"/>
  <c r="L16" i="19"/>
  <c r="C16" i="19"/>
  <c r="B11" i="19"/>
  <c r="D15" i="19"/>
  <c r="E15" i="19"/>
  <c r="F15" i="19"/>
  <c r="G15" i="19"/>
  <c r="H15" i="19"/>
  <c r="I15" i="19"/>
  <c r="J15" i="19"/>
  <c r="K15" i="19"/>
  <c r="L15" i="19"/>
  <c r="C15" i="19"/>
  <c r="D14" i="19"/>
  <c r="E14" i="19"/>
  <c r="F14" i="19"/>
  <c r="G14" i="19"/>
  <c r="H14" i="19"/>
  <c r="I14" i="19"/>
  <c r="J14" i="19"/>
  <c r="K14" i="19"/>
  <c r="L14" i="19"/>
  <c r="C14" i="19"/>
  <c r="D13" i="19"/>
  <c r="E13" i="19"/>
  <c r="F13" i="19"/>
  <c r="G13" i="19"/>
  <c r="H13" i="19"/>
  <c r="I13" i="19"/>
  <c r="J13" i="19"/>
  <c r="K13" i="19"/>
  <c r="L13" i="19"/>
  <c r="C13" i="19"/>
  <c r="D12" i="19"/>
  <c r="E12" i="19"/>
  <c r="F12" i="19"/>
  <c r="G12" i="19"/>
  <c r="H12" i="19"/>
  <c r="I12" i="19"/>
  <c r="J12" i="19"/>
  <c r="K12" i="19"/>
  <c r="L12" i="19"/>
  <c r="C12" i="19"/>
  <c r="D10" i="19"/>
  <c r="E10" i="19"/>
  <c r="F10" i="19"/>
  <c r="G10" i="19"/>
  <c r="H10" i="19"/>
  <c r="I10" i="19"/>
  <c r="J10" i="19"/>
  <c r="K10" i="19"/>
  <c r="L10" i="19"/>
  <c r="C10" i="19"/>
  <c r="D9" i="19"/>
  <c r="E9" i="19"/>
  <c r="F9" i="19"/>
  <c r="G9" i="19"/>
  <c r="H9" i="19"/>
  <c r="I9" i="19"/>
  <c r="J9" i="19"/>
  <c r="K9" i="19"/>
  <c r="L9" i="19"/>
  <c r="C9" i="19"/>
  <c r="D8" i="19"/>
  <c r="E8" i="19"/>
  <c r="F8" i="19"/>
  <c r="G8" i="19"/>
  <c r="H8" i="19"/>
  <c r="I8" i="19"/>
  <c r="J8" i="19"/>
  <c r="K8" i="19"/>
  <c r="L8" i="19"/>
  <c r="C8" i="19"/>
  <c r="C6" i="19"/>
  <c r="D5" i="19"/>
  <c r="E5" i="19"/>
  <c r="F5" i="19"/>
  <c r="G5" i="19"/>
  <c r="H5" i="19"/>
  <c r="I5" i="19"/>
  <c r="J5" i="19"/>
  <c r="K5" i="19"/>
  <c r="L5" i="19"/>
  <c r="C5" i="19"/>
  <c r="B16" i="19"/>
  <c r="B15" i="19"/>
  <c r="B13" i="19"/>
  <c r="B14" i="19"/>
  <c r="B6" i="19"/>
  <c r="B7" i="19"/>
  <c r="B8" i="19"/>
  <c r="B9" i="19"/>
  <c r="B10" i="19"/>
  <c r="B12" i="19"/>
  <c r="B5" i="19"/>
  <c r="L3" i="19"/>
  <c r="K3" i="19"/>
  <c r="J3" i="19"/>
  <c r="I3" i="19"/>
  <c r="H3" i="19"/>
  <c r="G3" i="19"/>
  <c r="F3" i="19"/>
  <c r="E3" i="19"/>
  <c r="D3" i="19"/>
  <c r="C3" i="19"/>
  <c r="H7" i="18"/>
  <c r="D7" i="18"/>
  <c r="E7" i="18"/>
  <c r="F7" i="18"/>
  <c r="G7" i="18"/>
  <c r="D27" i="21" l="1"/>
  <c r="D32" i="21" s="1"/>
  <c r="F15" i="21"/>
  <c r="G7" i="21"/>
  <c r="F9" i="21"/>
  <c r="D21" i="18"/>
  <c r="G21" i="18"/>
  <c r="F21" i="18"/>
  <c r="G11" i="21" l="1"/>
  <c r="G15" i="21" s="1"/>
  <c r="H7" i="21"/>
  <c r="G9" i="21"/>
  <c r="I11" i="21" l="1"/>
  <c r="I15" i="21" s="1"/>
  <c r="H11" i="21"/>
  <c r="H15" i="21" s="1"/>
  <c r="I7" i="21"/>
  <c r="H9" i="21"/>
  <c r="D31" i="21" l="1"/>
  <c r="D33" i="21" s="1"/>
  <c r="P5" i="21" s="1"/>
  <c r="J7" i="21"/>
  <c r="J9" i="21" s="1"/>
  <c r="I9" i="21"/>
  <c r="D37" i="21" l="1"/>
  <c r="D40" i="21" s="1"/>
  <c r="D43" i="21" s="1"/>
  <c r="H10" i="15"/>
  <c r="H11" i="15"/>
  <c r="H12" i="15"/>
  <c r="K12" i="15" s="1"/>
  <c r="H13" i="15"/>
  <c r="K13" i="15" s="1"/>
  <c r="H9" i="15"/>
  <c r="K38" i="15"/>
  <c r="K37" i="15"/>
  <c r="K22" i="15"/>
  <c r="F10" i="17"/>
  <c r="F8" i="17"/>
  <c r="K31" i="15"/>
  <c r="E33" i="15"/>
  <c r="D33" i="15"/>
  <c r="K30" i="15"/>
  <c r="K10" i="15"/>
  <c r="K11" i="15"/>
  <c r="K9" i="15"/>
  <c r="J13" i="15"/>
  <c r="J12" i="15"/>
  <c r="J11" i="15"/>
  <c r="J10" i="15"/>
  <c r="J9" i="15"/>
  <c r="S119" i="16"/>
  <c r="S125" i="16" s="1"/>
  <c r="S113" i="16"/>
  <c r="S112" i="16"/>
  <c r="S111" i="16"/>
  <c r="S110" i="16"/>
  <c r="S109" i="16"/>
  <c r="S108" i="16"/>
  <c r="S107" i="16"/>
  <c r="S106" i="16"/>
  <c r="S105" i="16"/>
  <c r="S104" i="16"/>
  <c r="S103" i="16"/>
  <c r="S102" i="16"/>
  <c r="S101" i="16"/>
  <c r="S100" i="16"/>
  <c r="S99" i="16"/>
  <c r="S98" i="16"/>
  <c r="S97" i="16"/>
  <c r="S96" i="16"/>
  <c r="S95" i="16"/>
  <c r="S94" i="16"/>
  <c r="S93" i="16"/>
  <c r="S92" i="16"/>
  <c r="S91" i="16"/>
  <c r="S90" i="16"/>
  <c r="S89" i="16"/>
  <c r="S88" i="16"/>
  <c r="S87" i="16"/>
  <c r="S86" i="16"/>
  <c r="S85" i="16"/>
  <c r="S84" i="16"/>
  <c r="S83" i="16"/>
  <c r="S82" i="16"/>
  <c r="S81" i="16"/>
  <c r="S80" i="16"/>
  <c r="S79" i="16"/>
  <c r="S78" i="16"/>
  <c r="S77" i="16"/>
  <c r="S76" i="16"/>
  <c r="S75" i="16"/>
  <c r="S74" i="16"/>
  <c r="S73" i="16"/>
  <c r="S72" i="16"/>
  <c r="S71" i="16"/>
  <c r="S70" i="16"/>
  <c r="S69" i="16"/>
  <c r="S68" i="16"/>
  <c r="S67" i="16"/>
  <c r="S66" i="16"/>
  <c r="S65" i="16"/>
  <c r="S64" i="16"/>
  <c r="S63" i="16"/>
  <c r="S62" i="16"/>
  <c r="S61" i="16"/>
  <c r="S60" i="16"/>
  <c r="S59" i="16"/>
  <c r="S58" i="16"/>
  <c r="S57" i="16"/>
  <c r="S56" i="16"/>
  <c r="S55" i="16"/>
  <c r="S54" i="16"/>
  <c r="S53" i="16"/>
  <c r="S52" i="16"/>
  <c r="S51" i="16"/>
  <c r="S50" i="16"/>
  <c r="S49" i="16"/>
  <c r="S48" i="16"/>
  <c r="S47" i="16"/>
  <c r="S46" i="16"/>
  <c r="S45" i="16"/>
  <c r="S44" i="16"/>
  <c r="S43" i="16"/>
  <c r="S42" i="16"/>
  <c r="S41" i="16"/>
  <c r="S40" i="16"/>
  <c r="S39" i="16"/>
  <c r="S38" i="16"/>
  <c r="S37" i="16"/>
  <c r="S36" i="16"/>
  <c r="S35" i="16"/>
  <c r="S34" i="16"/>
  <c r="S33" i="16"/>
  <c r="S32" i="16"/>
  <c r="S31" i="16"/>
  <c r="S30" i="16"/>
  <c r="S29" i="16"/>
  <c r="S28" i="16"/>
  <c r="S27" i="16"/>
  <c r="S26" i="16"/>
  <c r="S25" i="16"/>
  <c r="S24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10" i="16"/>
  <c r="S9" i="16"/>
  <c r="P119" i="16"/>
  <c r="P125" i="16" s="1"/>
  <c r="M119" i="16"/>
  <c r="M125" i="16" s="1"/>
  <c r="J119" i="16"/>
  <c r="J125" i="16" s="1"/>
  <c r="G119" i="16"/>
  <c r="G125" i="16" s="1"/>
  <c r="P113" i="16" l="1"/>
  <c r="P112" i="16"/>
  <c r="P111" i="16"/>
  <c r="P110" i="16"/>
  <c r="P109" i="16"/>
  <c r="P108" i="16"/>
  <c r="P107" i="16"/>
  <c r="P106" i="16"/>
  <c r="P105" i="16"/>
  <c r="P104" i="16"/>
  <c r="P103" i="16"/>
  <c r="P102" i="16"/>
  <c r="P101" i="16"/>
  <c r="P100" i="16"/>
  <c r="P99" i="16"/>
  <c r="P98" i="16"/>
  <c r="P97" i="16"/>
  <c r="P96" i="16"/>
  <c r="P95" i="16"/>
  <c r="P94" i="16"/>
  <c r="P93" i="16"/>
  <c r="P92" i="16"/>
  <c r="P91" i="16"/>
  <c r="P90" i="16"/>
  <c r="P89" i="16"/>
  <c r="P88" i="16"/>
  <c r="P87" i="16"/>
  <c r="P86" i="16"/>
  <c r="P85" i="16"/>
  <c r="P84" i="16"/>
  <c r="P83" i="16"/>
  <c r="P82" i="16"/>
  <c r="P81" i="16"/>
  <c r="P80" i="16"/>
  <c r="P79" i="16"/>
  <c r="P78" i="16"/>
  <c r="P77" i="16"/>
  <c r="P76" i="16"/>
  <c r="P75" i="16"/>
  <c r="P74" i="16"/>
  <c r="P73" i="16"/>
  <c r="P72" i="16"/>
  <c r="P71" i="16"/>
  <c r="P70" i="16"/>
  <c r="P69" i="16"/>
  <c r="P68" i="16"/>
  <c r="P67" i="16"/>
  <c r="P66" i="16"/>
  <c r="P65" i="16"/>
  <c r="P64" i="16"/>
  <c r="P63" i="16"/>
  <c r="P62" i="16"/>
  <c r="P61" i="16"/>
  <c r="P60" i="16"/>
  <c r="P59" i="16"/>
  <c r="P58" i="16"/>
  <c r="P57" i="16"/>
  <c r="P56" i="16"/>
  <c r="P55" i="16"/>
  <c r="P54" i="16"/>
  <c r="P53" i="16"/>
  <c r="P52" i="16"/>
  <c r="P51" i="16"/>
  <c r="P50" i="16"/>
  <c r="P49" i="16"/>
  <c r="P48" i="16"/>
  <c r="P47" i="16"/>
  <c r="P46" i="16"/>
  <c r="P45" i="16"/>
  <c r="P44" i="16"/>
  <c r="P43" i="16"/>
  <c r="P42" i="16"/>
  <c r="P41" i="16"/>
  <c r="P40" i="16"/>
  <c r="P39" i="16"/>
  <c r="P38" i="16"/>
  <c r="P37" i="16"/>
  <c r="P36" i="16"/>
  <c r="P35" i="16"/>
  <c r="P34" i="16"/>
  <c r="P33" i="16"/>
  <c r="P32" i="16"/>
  <c r="P31" i="16"/>
  <c r="P30" i="16"/>
  <c r="P29" i="16"/>
  <c r="P28" i="16"/>
  <c r="P27" i="16"/>
  <c r="P26" i="16"/>
  <c r="P25" i="16"/>
  <c r="P24" i="16"/>
  <c r="P23" i="16"/>
  <c r="P22" i="16"/>
  <c r="P21" i="16"/>
  <c r="P20" i="16"/>
  <c r="P19" i="16"/>
  <c r="P18" i="16"/>
  <c r="P17" i="16"/>
  <c r="P16" i="16"/>
  <c r="P15" i="16"/>
  <c r="P14" i="16"/>
  <c r="P13" i="16"/>
  <c r="P12" i="16"/>
  <c r="P11" i="16"/>
  <c r="P10" i="16"/>
  <c r="P9" i="16"/>
  <c r="M113" i="16"/>
  <c r="M112" i="16"/>
  <c r="M111" i="16"/>
  <c r="M110" i="16"/>
  <c r="M109" i="16"/>
  <c r="M108" i="16"/>
  <c r="M107" i="16"/>
  <c r="M106" i="16"/>
  <c r="M105" i="16"/>
  <c r="M104" i="16"/>
  <c r="M103" i="16"/>
  <c r="M102" i="16"/>
  <c r="M101" i="16"/>
  <c r="M100" i="16"/>
  <c r="M99" i="16"/>
  <c r="M98" i="16"/>
  <c r="M97" i="16"/>
  <c r="M96" i="16"/>
  <c r="M95" i="16"/>
  <c r="M94" i="16"/>
  <c r="M93" i="16"/>
  <c r="M92" i="16"/>
  <c r="M91" i="16"/>
  <c r="M90" i="16"/>
  <c r="M89" i="16"/>
  <c r="M88" i="16"/>
  <c r="M87" i="16"/>
  <c r="M86" i="16"/>
  <c r="M85" i="16"/>
  <c r="M84" i="16"/>
  <c r="M83" i="16"/>
  <c r="M82" i="16"/>
  <c r="M81" i="16"/>
  <c r="M80" i="16"/>
  <c r="M79" i="16"/>
  <c r="M78" i="16"/>
  <c r="M77" i="16"/>
  <c r="M76" i="16"/>
  <c r="M75" i="16"/>
  <c r="M74" i="16"/>
  <c r="M73" i="16"/>
  <c r="M72" i="16"/>
  <c r="M71" i="16"/>
  <c r="M70" i="16"/>
  <c r="M69" i="16"/>
  <c r="M68" i="16"/>
  <c r="M67" i="16"/>
  <c r="M66" i="16"/>
  <c r="M65" i="16"/>
  <c r="M64" i="16"/>
  <c r="M63" i="16"/>
  <c r="M62" i="16"/>
  <c r="M61" i="16"/>
  <c r="M60" i="16"/>
  <c r="M59" i="16"/>
  <c r="M58" i="16"/>
  <c r="M57" i="16"/>
  <c r="M56" i="16"/>
  <c r="M55" i="16"/>
  <c r="M54" i="16"/>
  <c r="M53" i="16"/>
  <c r="M52" i="16"/>
  <c r="M51" i="16"/>
  <c r="M50" i="16"/>
  <c r="M49" i="16"/>
  <c r="M48" i="16"/>
  <c r="M47" i="16"/>
  <c r="M46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J113" i="16"/>
  <c r="J112" i="16"/>
  <c r="J111" i="16"/>
  <c r="J110" i="16"/>
  <c r="J109" i="16"/>
  <c r="J108" i="16"/>
  <c r="J107" i="16"/>
  <c r="J106" i="16"/>
  <c r="J105" i="16"/>
  <c r="J104" i="16"/>
  <c r="J103" i="16"/>
  <c r="J102" i="16"/>
  <c r="J101" i="16"/>
  <c r="J100" i="16"/>
  <c r="J99" i="16"/>
  <c r="J98" i="16"/>
  <c r="J97" i="16"/>
  <c r="J96" i="16"/>
  <c r="J95" i="16"/>
  <c r="J94" i="16"/>
  <c r="J93" i="16"/>
  <c r="J92" i="16"/>
  <c r="J91" i="16"/>
  <c r="J90" i="16"/>
  <c r="J89" i="16"/>
  <c r="J88" i="16"/>
  <c r="J87" i="16"/>
  <c r="J86" i="16"/>
  <c r="J85" i="16"/>
  <c r="J84" i="16"/>
  <c r="J83" i="16"/>
  <c r="J82" i="16"/>
  <c r="J81" i="16"/>
  <c r="J80" i="16"/>
  <c r="J79" i="16"/>
  <c r="J78" i="16"/>
  <c r="J77" i="16"/>
  <c r="J76" i="16"/>
  <c r="J75" i="16"/>
  <c r="J74" i="16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9" i="16"/>
  <c r="J37" i="15"/>
  <c r="E30" i="15"/>
  <c r="E31" i="15"/>
  <c r="D31" i="15"/>
  <c r="E29" i="15"/>
  <c r="D30" i="15"/>
  <c r="D29" i="15"/>
  <c r="E23" i="15"/>
  <c r="E22" i="15"/>
  <c r="E21" i="15"/>
  <c r="C31" i="15"/>
  <c r="C30" i="15"/>
  <c r="C29" i="15"/>
  <c r="H16" i="15"/>
  <c r="I16" i="15"/>
  <c r="J16" i="15"/>
  <c r="K16" i="15"/>
  <c r="K29" i="15" s="1"/>
  <c r="K32" i="15" s="1"/>
  <c r="K23" i="15" s="1"/>
  <c r="K24" i="15" s="1"/>
  <c r="J38" i="15" s="1"/>
  <c r="K39" i="15" s="1"/>
  <c r="G16" i="15"/>
  <c r="H15" i="15"/>
  <c r="I15" i="15"/>
  <c r="J15" i="15"/>
  <c r="K15" i="15"/>
  <c r="G15" i="15"/>
  <c r="I10" i="15"/>
  <c r="I11" i="15"/>
  <c r="I12" i="15"/>
  <c r="I13" i="15"/>
  <c r="I9" i="15"/>
  <c r="B4" i="15"/>
  <c r="D41" i="14"/>
  <c r="E41" i="14"/>
  <c r="F41" i="14"/>
  <c r="G41" i="14"/>
  <c r="H41" i="14"/>
  <c r="I41" i="14"/>
  <c r="J41" i="14"/>
  <c r="K41" i="14"/>
  <c r="L41" i="14"/>
  <c r="M41" i="14"/>
  <c r="D42" i="14"/>
  <c r="E42" i="14"/>
  <c r="F42" i="14"/>
  <c r="G42" i="14"/>
  <c r="H42" i="14"/>
  <c r="I42" i="14"/>
  <c r="J42" i="14"/>
  <c r="K42" i="14"/>
  <c r="L42" i="14"/>
  <c r="M42" i="14"/>
  <c r="E40" i="14"/>
  <c r="F40" i="14"/>
  <c r="G40" i="14"/>
  <c r="H40" i="14"/>
  <c r="I40" i="14"/>
  <c r="J40" i="14"/>
  <c r="K40" i="14"/>
  <c r="L40" i="14"/>
  <c r="M40" i="14"/>
  <c r="D40" i="14"/>
  <c r="E36" i="14"/>
  <c r="F36" i="14"/>
  <c r="G36" i="14"/>
  <c r="H36" i="14"/>
  <c r="I36" i="14"/>
  <c r="J36" i="14"/>
  <c r="K36" i="14"/>
  <c r="L36" i="14"/>
  <c r="M36" i="14"/>
  <c r="E37" i="14"/>
  <c r="F37" i="14"/>
  <c r="G37" i="14"/>
  <c r="H37" i="14"/>
  <c r="I37" i="14"/>
  <c r="J37" i="14"/>
  <c r="K37" i="14"/>
  <c r="L37" i="14"/>
  <c r="M37" i="14"/>
  <c r="E38" i="14"/>
  <c r="F38" i="14"/>
  <c r="G38" i="14"/>
  <c r="H38" i="14"/>
  <c r="I38" i="14"/>
  <c r="J38" i="14"/>
  <c r="K38" i="14"/>
  <c r="L38" i="14"/>
  <c r="M38" i="14"/>
  <c r="E39" i="14"/>
  <c r="F39" i="14"/>
  <c r="G39" i="14"/>
  <c r="H39" i="14"/>
  <c r="I39" i="14"/>
  <c r="J39" i="14"/>
  <c r="K39" i="14"/>
  <c r="L39" i="14"/>
  <c r="M39" i="14"/>
  <c r="D37" i="14"/>
  <c r="D38" i="14"/>
  <c r="D39" i="14"/>
  <c r="D36" i="14"/>
  <c r="E35" i="14"/>
  <c r="F35" i="14"/>
  <c r="G35" i="14"/>
  <c r="H35" i="14"/>
  <c r="I35" i="14"/>
  <c r="J35" i="14"/>
  <c r="K35" i="14"/>
  <c r="L35" i="14"/>
  <c r="M35" i="14"/>
  <c r="D35" i="14"/>
  <c r="E30" i="14"/>
  <c r="F30" i="14"/>
  <c r="G30" i="14"/>
  <c r="H30" i="14"/>
  <c r="I30" i="14"/>
  <c r="J30" i="14"/>
  <c r="K30" i="14"/>
  <c r="L30" i="14"/>
  <c r="M30" i="14"/>
  <c r="E31" i="14"/>
  <c r="F31" i="14"/>
  <c r="G31" i="14"/>
  <c r="H31" i="14"/>
  <c r="I31" i="14"/>
  <c r="J31" i="14"/>
  <c r="K31" i="14"/>
  <c r="L31" i="14"/>
  <c r="M31" i="14"/>
  <c r="E32" i="14"/>
  <c r="F32" i="14"/>
  <c r="G32" i="14"/>
  <c r="H32" i="14"/>
  <c r="I32" i="14"/>
  <c r="J32" i="14"/>
  <c r="K32" i="14"/>
  <c r="L32" i="14"/>
  <c r="M32" i="14"/>
  <c r="E33" i="14"/>
  <c r="F33" i="14"/>
  <c r="G33" i="14"/>
  <c r="H33" i="14"/>
  <c r="I33" i="14"/>
  <c r="J33" i="14"/>
  <c r="K33" i="14"/>
  <c r="L33" i="14"/>
  <c r="M33" i="14"/>
  <c r="D33" i="14"/>
  <c r="D31" i="14"/>
  <c r="D32" i="14"/>
  <c r="D30" i="14"/>
  <c r="E29" i="14"/>
  <c r="F29" i="14"/>
  <c r="G29" i="14"/>
  <c r="H29" i="14"/>
  <c r="I29" i="14"/>
  <c r="J29" i="14"/>
  <c r="K29" i="14"/>
  <c r="L29" i="14"/>
  <c r="M29" i="14"/>
  <c r="D29" i="14"/>
  <c r="B40" i="14"/>
  <c r="B41" i="14"/>
  <c r="B42" i="14"/>
  <c r="B31" i="14"/>
  <c r="B32" i="14"/>
  <c r="B33" i="14"/>
  <c r="B36" i="14"/>
  <c r="B37" i="14"/>
  <c r="B38" i="14"/>
  <c r="B39" i="14"/>
  <c r="B30" i="14"/>
  <c r="E27" i="14"/>
  <c r="F27" i="14"/>
  <c r="G27" i="14"/>
  <c r="H27" i="14"/>
  <c r="I27" i="14"/>
  <c r="J27" i="14"/>
  <c r="K27" i="14"/>
  <c r="L27" i="14"/>
  <c r="M27" i="14"/>
  <c r="D27" i="14"/>
  <c r="B25" i="14"/>
  <c r="E9" i="14"/>
  <c r="F9" i="14"/>
  <c r="G9" i="14"/>
  <c r="H9" i="14"/>
  <c r="I9" i="14"/>
  <c r="J9" i="14"/>
  <c r="K9" i="14"/>
  <c r="L9" i="14"/>
  <c r="M9" i="14"/>
  <c r="E10" i="14"/>
  <c r="F10" i="14"/>
  <c r="G10" i="14"/>
  <c r="H10" i="14"/>
  <c r="I10" i="14"/>
  <c r="J10" i="14"/>
  <c r="K10" i="14"/>
  <c r="L10" i="14"/>
  <c r="M10" i="14"/>
  <c r="E11" i="14"/>
  <c r="F11" i="14"/>
  <c r="G11" i="14"/>
  <c r="H11" i="14"/>
  <c r="I11" i="14"/>
  <c r="J11" i="14"/>
  <c r="K11" i="14"/>
  <c r="L11" i="14"/>
  <c r="M11" i="14"/>
  <c r="E12" i="14"/>
  <c r="F12" i="14"/>
  <c r="G12" i="14"/>
  <c r="H12" i="14"/>
  <c r="I12" i="14"/>
  <c r="J12" i="14"/>
  <c r="K12" i="14"/>
  <c r="L12" i="14"/>
  <c r="M12" i="14"/>
  <c r="E13" i="14"/>
  <c r="F13" i="14"/>
  <c r="G13" i="14"/>
  <c r="H13" i="14"/>
  <c r="I13" i="14"/>
  <c r="J13" i="14"/>
  <c r="K13" i="14"/>
  <c r="L13" i="14"/>
  <c r="M13" i="14"/>
  <c r="E14" i="14"/>
  <c r="F14" i="14"/>
  <c r="G14" i="14"/>
  <c r="H14" i="14"/>
  <c r="I14" i="14"/>
  <c r="J14" i="14"/>
  <c r="K14" i="14"/>
  <c r="L14" i="14"/>
  <c r="M14" i="14"/>
  <c r="E15" i="14"/>
  <c r="F15" i="14"/>
  <c r="G15" i="14"/>
  <c r="H15" i="14"/>
  <c r="I15" i="14"/>
  <c r="J15" i="14"/>
  <c r="K15" i="14"/>
  <c r="L15" i="14"/>
  <c r="M15" i="14"/>
  <c r="E16" i="14"/>
  <c r="F16" i="14"/>
  <c r="G16" i="14"/>
  <c r="H16" i="14"/>
  <c r="I16" i="14"/>
  <c r="J16" i="14"/>
  <c r="K16" i="14"/>
  <c r="L16" i="14"/>
  <c r="M16" i="14"/>
  <c r="E17" i="14"/>
  <c r="F17" i="14"/>
  <c r="G17" i="14"/>
  <c r="H17" i="14"/>
  <c r="I17" i="14"/>
  <c r="J17" i="14"/>
  <c r="K17" i="14"/>
  <c r="L17" i="14"/>
  <c r="M17" i="14"/>
  <c r="E18" i="14"/>
  <c r="F18" i="14"/>
  <c r="G18" i="14"/>
  <c r="H18" i="14"/>
  <c r="I18" i="14"/>
  <c r="J18" i="14"/>
  <c r="K18" i="14"/>
  <c r="L18" i="14"/>
  <c r="M18" i="14"/>
  <c r="E19" i="14"/>
  <c r="F19" i="14"/>
  <c r="G19" i="14"/>
  <c r="H19" i="14"/>
  <c r="I19" i="14"/>
  <c r="J19" i="14"/>
  <c r="K19" i="14"/>
  <c r="L19" i="14"/>
  <c r="M19" i="14"/>
  <c r="E20" i="14"/>
  <c r="F20" i="14"/>
  <c r="G20" i="14"/>
  <c r="H20" i="14"/>
  <c r="I20" i="14"/>
  <c r="J20" i="14"/>
  <c r="K20" i="14"/>
  <c r="L20" i="14"/>
  <c r="M20" i="14"/>
  <c r="E21" i="14"/>
  <c r="F21" i="14"/>
  <c r="G21" i="14"/>
  <c r="H21" i="14"/>
  <c r="I21" i="14"/>
  <c r="J21" i="14"/>
  <c r="K21" i="14"/>
  <c r="L21" i="14"/>
  <c r="M21" i="14"/>
  <c r="E22" i="14"/>
  <c r="F22" i="14"/>
  <c r="G22" i="14"/>
  <c r="H22" i="14"/>
  <c r="I22" i="14"/>
  <c r="J22" i="14"/>
  <c r="K22" i="14"/>
  <c r="L22" i="14"/>
  <c r="M22" i="14"/>
  <c r="D22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E8" i="14"/>
  <c r="F8" i="14"/>
  <c r="G8" i="14"/>
  <c r="H8" i="14"/>
  <c r="I8" i="14"/>
  <c r="J8" i="14"/>
  <c r="K8" i="14"/>
  <c r="L8" i="14"/>
  <c r="M8" i="14"/>
  <c r="D8" i="14"/>
  <c r="B18" i="14"/>
  <c r="B19" i="14"/>
  <c r="B20" i="14"/>
  <c r="B21" i="14"/>
  <c r="B22" i="14"/>
  <c r="B9" i="14"/>
  <c r="B10" i="14"/>
  <c r="B11" i="14"/>
  <c r="B12" i="14"/>
  <c r="B13" i="14"/>
  <c r="B14" i="14"/>
  <c r="B15" i="14"/>
  <c r="B16" i="14"/>
  <c r="B17" i="14"/>
  <c r="B8" i="14"/>
  <c r="E6" i="14"/>
  <c r="F6" i="14"/>
  <c r="G6" i="14"/>
  <c r="H6" i="14"/>
  <c r="I6" i="14"/>
  <c r="J6" i="14"/>
  <c r="K6" i="14"/>
  <c r="L6" i="14"/>
  <c r="M6" i="14"/>
  <c r="D6" i="14"/>
  <c r="B4" i="14"/>
  <c r="L103" i="8" l="1"/>
  <c r="K103" i="8"/>
  <c r="J103" i="8"/>
  <c r="I103" i="8"/>
  <c r="H103" i="8"/>
  <c r="G103" i="8"/>
  <c r="F103" i="8"/>
  <c r="E103" i="8"/>
  <c r="D103" i="8"/>
  <c r="C103" i="8"/>
  <c r="L102" i="8"/>
  <c r="K102" i="8"/>
  <c r="J102" i="8"/>
  <c r="I102" i="8"/>
  <c r="H102" i="8"/>
  <c r="G102" i="8"/>
  <c r="F102" i="8"/>
  <c r="E102" i="8"/>
  <c r="D102" i="8"/>
  <c r="C102" i="8"/>
  <c r="L101" i="8"/>
  <c r="K101" i="8"/>
  <c r="J101" i="8"/>
  <c r="I101" i="8"/>
  <c r="H101" i="8"/>
  <c r="G101" i="8"/>
  <c r="F101" i="8"/>
  <c r="E101" i="8"/>
  <c r="D101" i="8"/>
  <c r="C101" i="8"/>
  <c r="L100" i="8"/>
  <c r="K100" i="8"/>
  <c r="J100" i="8"/>
  <c r="I100" i="8"/>
  <c r="H100" i="8"/>
  <c r="H104" i="8" s="1"/>
  <c r="G100" i="8"/>
  <c r="G104" i="8" s="1"/>
  <c r="F100" i="8"/>
  <c r="E100" i="8"/>
  <c r="D100" i="8"/>
  <c r="C100" i="8"/>
  <c r="L99" i="8"/>
  <c r="K99" i="8"/>
  <c r="J99" i="8"/>
  <c r="I99" i="8"/>
  <c r="I104" i="8" s="1"/>
  <c r="H99" i="8"/>
  <c r="G99" i="8"/>
  <c r="F99" i="8"/>
  <c r="E99" i="8"/>
  <c r="D99" i="8"/>
  <c r="C99" i="8"/>
  <c r="L98" i="8"/>
  <c r="L104" i="8" s="1"/>
  <c r="K98" i="8"/>
  <c r="J98" i="8"/>
  <c r="I98" i="8"/>
  <c r="H98" i="8"/>
  <c r="G98" i="8"/>
  <c r="F98" i="8"/>
  <c r="E98" i="8"/>
  <c r="D98" i="8"/>
  <c r="D104" i="8" s="1"/>
  <c r="C98" i="8"/>
  <c r="L97" i="8"/>
  <c r="K97" i="8"/>
  <c r="K104" i="8" s="1"/>
  <c r="J97" i="8"/>
  <c r="J104" i="8" s="1"/>
  <c r="I97" i="8"/>
  <c r="H97" i="8"/>
  <c r="G97" i="8"/>
  <c r="F97" i="8"/>
  <c r="F104" i="8" s="1"/>
  <c r="E97" i="8"/>
  <c r="E104" i="8" s="1"/>
  <c r="D97" i="8"/>
  <c r="C97" i="8"/>
  <c r="C104" i="8" s="1"/>
  <c r="L93" i="8"/>
  <c r="K93" i="8"/>
  <c r="J93" i="8"/>
  <c r="I93" i="8"/>
  <c r="H93" i="8"/>
  <c r="G93" i="8"/>
  <c r="F93" i="8"/>
  <c r="E93" i="8"/>
  <c r="D93" i="8"/>
  <c r="C93" i="8"/>
  <c r="L92" i="8"/>
  <c r="K92" i="8"/>
  <c r="J92" i="8"/>
  <c r="I92" i="8"/>
  <c r="H92" i="8"/>
  <c r="G92" i="8"/>
  <c r="F92" i="8"/>
  <c r="E92" i="8"/>
  <c r="D92" i="8"/>
  <c r="C92" i="8"/>
  <c r="L91" i="8"/>
  <c r="K91" i="8"/>
  <c r="J91" i="8"/>
  <c r="I91" i="8"/>
  <c r="H91" i="8"/>
  <c r="G91" i="8"/>
  <c r="F91" i="8"/>
  <c r="E91" i="8"/>
  <c r="D91" i="8"/>
  <c r="C91" i="8"/>
  <c r="L90" i="8"/>
  <c r="K90" i="8"/>
  <c r="J90" i="8"/>
  <c r="I90" i="8"/>
  <c r="H90" i="8"/>
  <c r="G90" i="8"/>
  <c r="F90" i="8"/>
  <c r="E90" i="8"/>
  <c r="D90" i="8"/>
  <c r="C90" i="8"/>
  <c r="L89" i="8"/>
  <c r="K89" i="8"/>
  <c r="J89" i="8"/>
  <c r="I89" i="8"/>
  <c r="H89" i="8"/>
  <c r="G89" i="8"/>
  <c r="F89" i="8"/>
  <c r="E89" i="8"/>
  <c r="D89" i="8"/>
  <c r="C89" i="8"/>
  <c r="L88" i="8"/>
  <c r="K88" i="8"/>
  <c r="J88" i="8"/>
  <c r="I88" i="8"/>
  <c r="H88" i="8"/>
  <c r="G88" i="8"/>
  <c r="F88" i="8"/>
  <c r="E88" i="8"/>
  <c r="D88" i="8"/>
  <c r="C88" i="8"/>
  <c r="L87" i="8"/>
  <c r="K87" i="8"/>
  <c r="J87" i="8"/>
  <c r="I87" i="8"/>
  <c r="H87" i="8"/>
  <c r="G87" i="8"/>
  <c r="F87" i="8"/>
  <c r="E87" i="8"/>
  <c r="D87" i="8"/>
  <c r="C87" i="8"/>
  <c r="L86" i="8"/>
  <c r="K86" i="8"/>
  <c r="J86" i="8"/>
  <c r="I86" i="8"/>
  <c r="H86" i="8"/>
  <c r="H94" i="8" s="1"/>
  <c r="G86" i="8"/>
  <c r="G94" i="8" s="1"/>
  <c r="F86" i="8"/>
  <c r="E86" i="8"/>
  <c r="D86" i="8"/>
  <c r="C86" i="8"/>
  <c r="L85" i="8"/>
  <c r="K85" i="8"/>
  <c r="J85" i="8"/>
  <c r="I85" i="8"/>
  <c r="I94" i="8" s="1"/>
  <c r="H85" i="8"/>
  <c r="G85" i="8"/>
  <c r="F85" i="8"/>
  <c r="E85" i="8"/>
  <c r="D85" i="8"/>
  <c r="C85" i="8"/>
  <c r="L84" i="8"/>
  <c r="L94" i="8" s="1"/>
  <c r="K84" i="8"/>
  <c r="J84" i="8"/>
  <c r="I84" i="8"/>
  <c r="H84" i="8"/>
  <c r="G84" i="8"/>
  <c r="F84" i="8"/>
  <c r="E84" i="8"/>
  <c r="D84" i="8"/>
  <c r="D94" i="8" s="1"/>
  <c r="C84" i="8"/>
  <c r="L83" i="8"/>
  <c r="K83" i="8"/>
  <c r="K94" i="8" s="1"/>
  <c r="J83" i="8"/>
  <c r="J94" i="8" s="1"/>
  <c r="I83" i="8"/>
  <c r="H83" i="8"/>
  <c r="G83" i="8"/>
  <c r="F83" i="8"/>
  <c r="F94" i="8" s="1"/>
  <c r="E83" i="8"/>
  <c r="E94" i="8" s="1"/>
  <c r="D83" i="8"/>
  <c r="C83" i="8"/>
  <c r="C94" i="8" s="1"/>
  <c r="L79" i="8"/>
  <c r="K79" i="8"/>
  <c r="J79" i="8"/>
  <c r="I79" i="8"/>
  <c r="H79" i="8"/>
  <c r="G79" i="8"/>
  <c r="F79" i="8"/>
  <c r="E79" i="8"/>
  <c r="D79" i="8"/>
  <c r="C79" i="8"/>
  <c r="L78" i="8"/>
  <c r="K78" i="8"/>
  <c r="J78" i="8"/>
  <c r="I78" i="8"/>
  <c r="H78" i="8"/>
  <c r="G78" i="8"/>
  <c r="F78" i="8"/>
  <c r="E78" i="8"/>
  <c r="D78" i="8"/>
  <c r="C78" i="8"/>
  <c r="L77" i="8"/>
  <c r="K77" i="8"/>
  <c r="J77" i="8"/>
  <c r="I77" i="8"/>
  <c r="H77" i="8"/>
  <c r="G77" i="8"/>
  <c r="F77" i="8"/>
  <c r="E77" i="8"/>
  <c r="D77" i="8"/>
  <c r="C77" i="8"/>
  <c r="L76" i="8"/>
  <c r="K76" i="8"/>
  <c r="J76" i="8"/>
  <c r="I76" i="8"/>
  <c r="H76" i="8"/>
  <c r="G76" i="8"/>
  <c r="F76" i="8"/>
  <c r="E76" i="8"/>
  <c r="D76" i="8"/>
  <c r="C76" i="8"/>
  <c r="L75" i="8"/>
  <c r="K75" i="8"/>
  <c r="J75" i="8"/>
  <c r="I75" i="8"/>
  <c r="H75" i="8"/>
  <c r="G75" i="8"/>
  <c r="F75" i="8"/>
  <c r="E75" i="8"/>
  <c r="D75" i="8"/>
  <c r="C75" i="8"/>
  <c r="L74" i="8"/>
  <c r="K74" i="8"/>
  <c r="J74" i="8"/>
  <c r="I74" i="8"/>
  <c r="H74" i="8"/>
  <c r="G74" i="8"/>
  <c r="F74" i="8"/>
  <c r="E74" i="8"/>
  <c r="D74" i="8"/>
  <c r="C74" i="8"/>
  <c r="L73" i="8"/>
  <c r="K73" i="8"/>
  <c r="J73" i="8"/>
  <c r="I73" i="8"/>
  <c r="H73" i="8"/>
  <c r="G73" i="8"/>
  <c r="F73" i="8"/>
  <c r="E73" i="8"/>
  <c r="D73" i="8"/>
  <c r="C73" i="8"/>
  <c r="L72" i="8"/>
  <c r="K72" i="8"/>
  <c r="J72" i="8"/>
  <c r="I72" i="8"/>
  <c r="H72" i="8"/>
  <c r="G72" i="8"/>
  <c r="G80" i="8" s="1"/>
  <c r="G106" i="8" s="1"/>
  <c r="F72" i="8"/>
  <c r="E72" i="8"/>
  <c r="D72" i="8"/>
  <c r="C72" i="8"/>
  <c r="L71" i="8"/>
  <c r="K71" i="8"/>
  <c r="J71" i="8"/>
  <c r="I71" i="8"/>
  <c r="I80" i="8" s="1"/>
  <c r="I106" i="8" s="1"/>
  <c r="H71" i="8"/>
  <c r="H80" i="8" s="1"/>
  <c r="G71" i="8"/>
  <c r="F71" i="8"/>
  <c r="E71" i="8"/>
  <c r="D71" i="8"/>
  <c r="C71" i="8"/>
  <c r="L70" i="8"/>
  <c r="L80" i="8" s="1"/>
  <c r="L106" i="8" s="1"/>
  <c r="K70" i="8"/>
  <c r="K80" i="8" s="1"/>
  <c r="K106" i="8" s="1"/>
  <c r="J70" i="8"/>
  <c r="J80" i="8" s="1"/>
  <c r="I70" i="8"/>
  <c r="H70" i="8"/>
  <c r="G70" i="8"/>
  <c r="F70" i="8"/>
  <c r="F80" i="8" s="1"/>
  <c r="F106" i="8" s="1"/>
  <c r="E70" i="8"/>
  <c r="E80" i="8" s="1"/>
  <c r="E106" i="8" s="1"/>
  <c r="D70" i="8"/>
  <c r="D80" i="8" s="1"/>
  <c r="D106" i="8" s="1"/>
  <c r="C70" i="8"/>
  <c r="C80" i="8" s="1"/>
  <c r="C106" i="8" s="1"/>
  <c r="L2" i="10"/>
  <c r="J106" i="8" l="1"/>
  <c r="H106" i="8"/>
  <c r="D23" i="12" l="1"/>
  <c r="E23" i="12"/>
  <c r="F23" i="12"/>
  <c r="G23" i="12"/>
  <c r="H23" i="12"/>
  <c r="I23" i="12"/>
  <c r="J23" i="12"/>
  <c r="K23" i="12"/>
  <c r="L23" i="12"/>
  <c r="C23" i="12"/>
  <c r="C22" i="12"/>
  <c r="D13" i="12"/>
  <c r="E13" i="12"/>
  <c r="F13" i="12"/>
  <c r="G13" i="12"/>
  <c r="H13" i="12"/>
  <c r="I13" i="12"/>
  <c r="J13" i="12"/>
  <c r="K13" i="12"/>
  <c r="L13" i="12"/>
  <c r="C13" i="12"/>
  <c r="C18" i="8"/>
  <c r="B5" i="13"/>
  <c r="G5" i="13"/>
  <c r="L5" i="13"/>
  <c r="L8" i="13"/>
  <c r="L9" i="13" s="1"/>
  <c r="L10" i="13" s="1"/>
  <c r="L11" i="13" s="1"/>
  <c r="L12" i="13" s="1"/>
  <c r="L13" i="13" s="1"/>
  <c r="L14" i="13" s="1"/>
  <c r="L15" i="13" s="1"/>
  <c r="L16" i="13" s="1"/>
  <c r="L17" i="13" s="1"/>
  <c r="G8" i="13"/>
  <c r="G9" i="13" s="1"/>
  <c r="G10" i="13" s="1"/>
  <c r="G11" i="13" s="1"/>
  <c r="G12" i="13" s="1"/>
  <c r="G13" i="13" s="1"/>
  <c r="G14" i="13" s="1"/>
  <c r="G15" i="13" s="1"/>
  <c r="G16" i="13" s="1"/>
  <c r="G17" i="13" s="1"/>
  <c r="B9" i="13"/>
  <c r="B10" i="13" s="1"/>
  <c r="B11" i="13" s="1"/>
  <c r="B12" i="13" s="1"/>
  <c r="B13" i="13" s="1"/>
  <c r="B14" i="13" s="1"/>
  <c r="B15" i="13" s="1"/>
  <c r="B16" i="13" s="1"/>
  <c r="B17" i="13" s="1"/>
  <c r="B8" i="13"/>
  <c r="N7" i="13" a="1"/>
  <c r="N7" i="13" s="1"/>
  <c r="H8" i="13"/>
  <c r="M8" i="13" s="1"/>
  <c r="H7" i="13"/>
  <c r="M7" i="13" s="1"/>
  <c r="D7" i="13" a="1"/>
  <c r="D7" i="13" s="1"/>
  <c r="C8" i="13"/>
  <c r="C9" i="13" s="1"/>
  <c r="C7" i="13"/>
  <c r="C10" i="13" l="1"/>
  <c r="H9" i="13"/>
  <c r="M9" i="13" s="1"/>
  <c r="L18" i="13"/>
  <c r="G18" i="13"/>
  <c r="B18" i="13"/>
  <c r="E17" i="13"/>
  <c r="N9" i="13"/>
  <c r="N14" i="13"/>
  <c r="O14" i="13" s="1"/>
  <c r="N13" i="13"/>
  <c r="N12" i="13"/>
  <c r="N11" i="13"/>
  <c r="N10" i="13"/>
  <c r="O10" i="13" s="1"/>
  <c r="N16" i="13"/>
  <c r="O16" i="13" s="1"/>
  <c r="N8" i="13"/>
  <c r="O8" i="13" s="1"/>
  <c r="N15" i="13"/>
  <c r="D10" i="13"/>
  <c r="E10" i="13" s="1"/>
  <c r="D8" i="13"/>
  <c r="E8" i="13" s="1"/>
  <c r="D14" i="13"/>
  <c r="D13" i="13"/>
  <c r="D12" i="13"/>
  <c r="D11" i="13"/>
  <c r="E11" i="13" s="1"/>
  <c r="D9" i="13"/>
  <c r="D16" i="13"/>
  <c r="E16" i="13" s="1"/>
  <c r="D15" i="13"/>
  <c r="O11" i="13" l="1"/>
  <c r="N17" i="13"/>
  <c r="O17" i="13" s="1"/>
  <c r="E12" i="13"/>
  <c r="E13" i="13"/>
  <c r="O12" i="13"/>
  <c r="E15" i="13"/>
  <c r="O13" i="13"/>
  <c r="E14" i="13"/>
  <c r="E9" i="13"/>
  <c r="O15" i="13"/>
  <c r="O9" i="13"/>
  <c r="C11" i="13"/>
  <c r="H10" i="13"/>
  <c r="M10" i="13" s="1"/>
  <c r="L19" i="13"/>
  <c r="N18" i="13"/>
  <c r="O18" i="13" s="1"/>
  <c r="G19" i="13"/>
  <c r="D18" i="13"/>
  <c r="E18" i="13" s="1"/>
  <c r="B19" i="13"/>
  <c r="B2" i="12"/>
  <c r="C36" i="8"/>
  <c r="J31" i="12"/>
  <c r="G30" i="12"/>
  <c r="D29" i="12"/>
  <c r="D36" i="12" s="1"/>
  <c r="D28" i="12"/>
  <c r="D35" i="12" s="1"/>
  <c r="C28" i="12"/>
  <c r="C35" i="12" s="1"/>
  <c r="J17" i="12"/>
  <c r="L3" i="12"/>
  <c r="K3" i="12"/>
  <c r="J3" i="12"/>
  <c r="I3" i="12"/>
  <c r="H3" i="12"/>
  <c r="G3" i="12"/>
  <c r="F3" i="12"/>
  <c r="E3" i="12"/>
  <c r="D3" i="12"/>
  <c r="C3" i="12"/>
  <c r="B2" i="8"/>
  <c r="D41" i="8"/>
  <c r="D9" i="12" s="1"/>
  <c r="E41" i="8"/>
  <c r="E9" i="12" s="1"/>
  <c r="F41" i="8"/>
  <c r="F9" i="12" s="1"/>
  <c r="G41" i="8"/>
  <c r="G9" i="12" s="1"/>
  <c r="H41" i="8"/>
  <c r="H9" i="12" s="1"/>
  <c r="I41" i="8"/>
  <c r="I9" i="12" s="1"/>
  <c r="J41" i="8"/>
  <c r="J9" i="12" s="1"/>
  <c r="K41" i="8"/>
  <c r="K9" i="12" s="1"/>
  <c r="L41" i="8"/>
  <c r="L9" i="12" s="1"/>
  <c r="M41" i="8"/>
  <c r="D36" i="8"/>
  <c r="E36" i="8"/>
  <c r="F36" i="8"/>
  <c r="G36" i="8"/>
  <c r="H36" i="8"/>
  <c r="I36" i="8"/>
  <c r="J36" i="8"/>
  <c r="K36" i="8"/>
  <c r="L36" i="8"/>
  <c r="M36" i="8"/>
  <c r="D30" i="8"/>
  <c r="E30" i="8"/>
  <c r="F30" i="8"/>
  <c r="G30" i="8"/>
  <c r="H30" i="8"/>
  <c r="I30" i="8"/>
  <c r="J30" i="8"/>
  <c r="K30" i="8"/>
  <c r="L30" i="8"/>
  <c r="M30" i="8"/>
  <c r="D59" i="8"/>
  <c r="E59" i="8"/>
  <c r="F59" i="8"/>
  <c r="D60" i="8"/>
  <c r="E60" i="8"/>
  <c r="E62" i="8" s="1"/>
  <c r="F60" i="8"/>
  <c r="D61" i="8"/>
  <c r="E61" i="8"/>
  <c r="F61" i="8"/>
  <c r="C60" i="8"/>
  <c r="C61" i="8"/>
  <c r="C59" i="8"/>
  <c r="E50" i="8"/>
  <c r="F56" i="8"/>
  <c r="D56" i="8"/>
  <c r="E56" i="8"/>
  <c r="C56" i="8"/>
  <c r="G56" i="8"/>
  <c r="D53" i="8"/>
  <c r="E53" i="8"/>
  <c r="F53" i="8"/>
  <c r="D54" i="8"/>
  <c r="E54" i="8"/>
  <c r="F54" i="8"/>
  <c r="F57" i="8" s="1"/>
  <c r="D55" i="8"/>
  <c r="E55" i="8"/>
  <c r="F55" i="8"/>
  <c r="C54" i="8"/>
  <c r="C55" i="8"/>
  <c r="C53" i="8"/>
  <c r="C57" i="8" s="1"/>
  <c r="D50" i="8"/>
  <c r="F50" i="8"/>
  <c r="G50" i="8"/>
  <c r="D51" i="8"/>
  <c r="E51" i="8"/>
  <c r="F51" i="8"/>
  <c r="C51" i="8"/>
  <c r="D47" i="8"/>
  <c r="E47" i="8"/>
  <c r="F47" i="8"/>
  <c r="D48" i="8"/>
  <c r="E48" i="8"/>
  <c r="F48" i="8"/>
  <c r="D49" i="8"/>
  <c r="E49" i="8"/>
  <c r="F49" i="8"/>
  <c r="C48" i="8"/>
  <c r="C49" i="8"/>
  <c r="C50" i="8"/>
  <c r="C47" i="8"/>
  <c r="C41" i="8"/>
  <c r="C30" i="8"/>
  <c r="D24" i="8"/>
  <c r="E24" i="8"/>
  <c r="E25" i="8" s="1"/>
  <c r="E18" i="12" s="1"/>
  <c r="F24" i="8"/>
  <c r="F25" i="8" s="1"/>
  <c r="F18" i="12" s="1"/>
  <c r="G24" i="8"/>
  <c r="C24" i="8"/>
  <c r="C25" i="8" s="1"/>
  <c r="C18" i="12" s="1"/>
  <c r="D21" i="8"/>
  <c r="E21" i="8"/>
  <c r="F21" i="8"/>
  <c r="F22" i="8" s="1"/>
  <c r="G21" i="8"/>
  <c r="C21" i="8"/>
  <c r="C22" i="8" s="1"/>
  <c r="D15" i="8"/>
  <c r="D16" i="8" s="1"/>
  <c r="E15" i="8"/>
  <c r="E17" i="12" s="1"/>
  <c r="F15" i="8"/>
  <c r="G15" i="8"/>
  <c r="G17" i="12" s="1"/>
  <c r="C15" i="8"/>
  <c r="C16" i="8" s="1"/>
  <c r="D10" i="8"/>
  <c r="D9" i="8"/>
  <c r="E9" i="8"/>
  <c r="F9" i="8"/>
  <c r="F10" i="8" s="1"/>
  <c r="G9" i="8"/>
  <c r="H9" i="8"/>
  <c r="H10" i="8" s="1"/>
  <c r="I9" i="8"/>
  <c r="J9" i="8"/>
  <c r="J10" i="8" s="1"/>
  <c r="K9" i="8"/>
  <c r="L9" i="8"/>
  <c r="C9" i="8"/>
  <c r="C10" i="8" s="1"/>
  <c r="G7" i="8"/>
  <c r="G5" i="12" s="1"/>
  <c r="D6" i="8"/>
  <c r="D31" i="12" s="1"/>
  <c r="E6" i="8"/>
  <c r="E22" i="8" s="1"/>
  <c r="F6" i="8"/>
  <c r="F16" i="8" s="1"/>
  <c r="C6" i="8"/>
  <c r="C29" i="12" s="1"/>
  <c r="D3" i="8"/>
  <c r="E3" i="8"/>
  <c r="F3" i="8"/>
  <c r="C3" i="8"/>
  <c r="H56" i="8"/>
  <c r="I56" i="8"/>
  <c r="J56" i="8"/>
  <c r="K56" i="8"/>
  <c r="L56" i="8"/>
  <c r="H59" i="8"/>
  <c r="I59" i="8"/>
  <c r="J59" i="8"/>
  <c r="K59" i="8"/>
  <c r="L59" i="8"/>
  <c r="H60" i="8"/>
  <c r="I60" i="8"/>
  <c r="J60" i="8"/>
  <c r="K60" i="8"/>
  <c r="L60" i="8"/>
  <c r="H61" i="8"/>
  <c r="I61" i="8"/>
  <c r="J61" i="8"/>
  <c r="K61" i="8"/>
  <c r="L61" i="8"/>
  <c r="G60" i="8"/>
  <c r="G61" i="8"/>
  <c r="G59" i="8"/>
  <c r="G62" i="8" s="1"/>
  <c r="H53" i="8"/>
  <c r="I53" i="8"/>
  <c r="J53" i="8"/>
  <c r="K53" i="8"/>
  <c r="K30" i="12" s="1"/>
  <c r="L53" i="8"/>
  <c r="H54" i="8"/>
  <c r="I54" i="8"/>
  <c r="J54" i="8"/>
  <c r="K54" i="8"/>
  <c r="L54" i="8"/>
  <c r="H55" i="8"/>
  <c r="I55" i="8"/>
  <c r="J55" i="8"/>
  <c r="K55" i="8"/>
  <c r="L55" i="8"/>
  <c r="G54" i="8"/>
  <c r="G55" i="8"/>
  <c r="G53" i="8"/>
  <c r="H50" i="8"/>
  <c r="I50" i="8"/>
  <c r="J50" i="8"/>
  <c r="K50" i="8"/>
  <c r="L50" i="8"/>
  <c r="M50" i="8"/>
  <c r="H51" i="8"/>
  <c r="I51" i="8"/>
  <c r="J51" i="8"/>
  <c r="K51" i="8"/>
  <c r="L51" i="8"/>
  <c r="M51" i="8"/>
  <c r="G51" i="8"/>
  <c r="H47" i="8"/>
  <c r="I47" i="8"/>
  <c r="J47" i="8"/>
  <c r="K47" i="8"/>
  <c r="L47" i="8"/>
  <c r="H48" i="8"/>
  <c r="I48" i="8"/>
  <c r="J48" i="8"/>
  <c r="K48" i="8"/>
  <c r="L48" i="8"/>
  <c r="H49" i="8"/>
  <c r="I49" i="8"/>
  <c r="J49" i="8"/>
  <c r="K49" i="8"/>
  <c r="L49" i="8"/>
  <c r="G48" i="8"/>
  <c r="G49" i="8"/>
  <c r="G47" i="8"/>
  <c r="M24" i="8"/>
  <c r="H24" i="8"/>
  <c r="I24" i="8"/>
  <c r="J24" i="8"/>
  <c r="K24" i="8"/>
  <c r="L24" i="8"/>
  <c r="M21" i="8"/>
  <c r="I15" i="8"/>
  <c r="I17" i="12" s="1"/>
  <c r="M18" i="8"/>
  <c r="M9" i="8"/>
  <c r="M6" i="8"/>
  <c r="M12" i="8" s="1"/>
  <c r="H21" i="8"/>
  <c r="I21" i="8"/>
  <c r="J21" i="8"/>
  <c r="K21" i="8"/>
  <c r="L21" i="8"/>
  <c r="H15" i="8"/>
  <c r="H17" i="12" s="1"/>
  <c r="J15" i="8"/>
  <c r="K15" i="8"/>
  <c r="K17" i="12" s="1"/>
  <c r="L15" i="8"/>
  <c r="L17" i="12" s="1"/>
  <c r="M15" i="8"/>
  <c r="N9" i="8"/>
  <c r="H6" i="8"/>
  <c r="H12" i="8" s="1"/>
  <c r="H13" i="8" s="1"/>
  <c r="H11" i="12" s="1"/>
  <c r="I6" i="8"/>
  <c r="I12" i="8" s="1"/>
  <c r="J6" i="8"/>
  <c r="J27" i="12" s="1"/>
  <c r="J34" i="12" s="1"/>
  <c r="K6" i="8"/>
  <c r="K12" i="8" s="1"/>
  <c r="L6" i="8"/>
  <c r="L10" i="8" s="1"/>
  <c r="G6" i="8"/>
  <c r="G31" i="12" s="1"/>
  <c r="H3" i="8"/>
  <c r="I3" i="8"/>
  <c r="J3" i="8"/>
  <c r="K3" i="8"/>
  <c r="L3" i="8"/>
  <c r="G3" i="8"/>
  <c r="N15" i="8"/>
  <c r="E1" i="6"/>
  <c r="C6" i="3"/>
  <c r="D6" i="3"/>
  <c r="E6" i="3"/>
  <c r="E14" i="3" s="1"/>
  <c r="F6" i="3"/>
  <c r="G6" i="3"/>
  <c r="H6" i="3"/>
  <c r="I6" i="3"/>
  <c r="L6" i="1" s="1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17" i="2"/>
  <c r="D17" i="2"/>
  <c r="D20" i="2" s="1"/>
  <c r="E17" i="2"/>
  <c r="F17" i="2"/>
  <c r="G17" i="2"/>
  <c r="H17" i="2"/>
  <c r="I17" i="2"/>
  <c r="J17" i="2"/>
  <c r="K17" i="2"/>
  <c r="C18" i="2"/>
  <c r="C21" i="2" s="1"/>
  <c r="D18" i="2"/>
  <c r="E18" i="2"/>
  <c r="F18" i="2"/>
  <c r="G18" i="2"/>
  <c r="G21" i="2" s="1"/>
  <c r="H18" i="2"/>
  <c r="I18" i="2"/>
  <c r="J18" i="2"/>
  <c r="K18" i="2"/>
  <c r="K21" i="2" s="1"/>
  <c r="B17" i="2"/>
  <c r="C4" i="2"/>
  <c r="D4" i="2"/>
  <c r="E4" i="2"/>
  <c r="E5" i="2"/>
  <c r="F4" i="2"/>
  <c r="G4" i="2"/>
  <c r="H4" i="2"/>
  <c r="H23" i="2" s="1"/>
  <c r="I4" i="2"/>
  <c r="I5" i="2"/>
  <c r="J4" i="2"/>
  <c r="J5" i="2"/>
  <c r="J23" i="2" s="1"/>
  <c r="K4" i="2"/>
  <c r="C5" i="2"/>
  <c r="D5" i="2"/>
  <c r="F5" i="2"/>
  <c r="F23" i="2" s="1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F16" i="2" s="1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F14" i="3" s="1"/>
  <c r="G4" i="3"/>
  <c r="H4" i="3"/>
  <c r="H14" i="3" s="1"/>
  <c r="I4" i="3"/>
  <c r="J4" i="3"/>
  <c r="K4" i="3"/>
  <c r="K14" i="3" s="1"/>
  <c r="C5" i="3"/>
  <c r="D5" i="3"/>
  <c r="E5" i="3"/>
  <c r="F5" i="3"/>
  <c r="G5" i="3"/>
  <c r="H5" i="3"/>
  <c r="I5" i="3"/>
  <c r="J5" i="3"/>
  <c r="K5" i="3"/>
  <c r="L5" i="1" s="1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D6" i="1" s="1"/>
  <c r="D19" i="1" s="1"/>
  <c r="E4" i="1"/>
  <c r="E21" i="2" s="1"/>
  <c r="F4" i="1"/>
  <c r="G4" i="1"/>
  <c r="H4" i="1"/>
  <c r="I4" i="1"/>
  <c r="I21" i="2" s="1"/>
  <c r="J4" i="1"/>
  <c r="J6" i="1" s="1"/>
  <c r="J19" i="1" s="1"/>
  <c r="K4" i="1"/>
  <c r="K20" i="2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C14" i="1" s="1"/>
  <c r="D12" i="1"/>
  <c r="E12" i="1"/>
  <c r="F12" i="1"/>
  <c r="F13" i="1" s="1"/>
  <c r="G12" i="1"/>
  <c r="G13" i="1" s="1"/>
  <c r="G14" i="1" s="1"/>
  <c r="H12" i="1"/>
  <c r="I12" i="1"/>
  <c r="J12" i="1"/>
  <c r="J13" i="1" s="1"/>
  <c r="K12" i="1"/>
  <c r="K13" i="1" s="1"/>
  <c r="C15" i="1"/>
  <c r="D15" i="1"/>
  <c r="E15" i="1"/>
  <c r="F15" i="1"/>
  <c r="F14" i="1" s="1"/>
  <c r="G15" i="1"/>
  <c r="H15" i="1"/>
  <c r="I15" i="1"/>
  <c r="J15" i="1"/>
  <c r="K15" i="1"/>
  <c r="B15" i="1"/>
  <c r="H13" i="1"/>
  <c r="I13" i="1"/>
  <c r="B7" i="1"/>
  <c r="B4" i="1"/>
  <c r="B20" i="2" s="1"/>
  <c r="A1" i="1"/>
  <c r="A1" i="3" s="1"/>
  <c r="H1" i="1"/>
  <c r="E1" i="3"/>
  <c r="H16" i="2"/>
  <c r="K16" i="2"/>
  <c r="D23" i="2"/>
  <c r="G6" i="1"/>
  <c r="G19" i="1" s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J21" i="2"/>
  <c r="H21" i="2"/>
  <c r="F21" i="2"/>
  <c r="D21" i="2"/>
  <c r="B18" i="2"/>
  <c r="B21" i="2"/>
  <c r="B13" i="2"/>
  <c r="B12" i="2"/>
  <c r="B11" i="2"/>
  <c r="B10" i="2"/>
  <c r="B8" i="2"/>
  <c r="B7" i="2"/>
  <c r="B6" i="2"/>
  <c r="B3" i="2"/>
  <c r="J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G14" i="3"/>
  <c r="G20" i="2"/>
  <c r="J20" i="2"/>
  <c r="L4" i="1"/>
  <c r="L23" i="1" s="1"/>
  <c r="A1" i="2"/>
  <c r="A1" i="4" s="1"/>
  <c r="C36" i="12" l="1"/>
  <c r="O29" i="12"/>
  <c r="O9" i="12"/>
  <c r="N9" i="12"/>
  <c r="O18" i="12"/>
  <c r="H29" i="12"/>
  <c r="H36" i="12" s="1"/>
  <c r="F31" i="12"/>
  <c r="E20" i="2"/>
  <c r="E23" i="2"/>
  <c r="C6" i="1"/>
  <c r="C19" i="1" s="1"/>
  <c r="L11" i="1"/>
  <c r="L10" i="1"/>
  <c r="N11" i="1" s="1"/>
  <c r="D16" i="2"/>
  <c r="C23" i="2"/>
  <c r="G57" i="8"/>
  <c r="G64" i="8" s="1"/>
  <c r="G66" i="8" s="1"/>
  <c r="J12" i="8"/>
  <c r="F62" i="8"/>
  <c r="E27" i="12"/>
  <c r="E34" i="12" s="1"/>
  <c r="J28" i="12"/>
  <c r="J35" i="12" s="1"/>
  <c r="C30" i="12"/>
  <c r="J29" i="12"/>
  <c r="J36" i="12" s="1"/>
  <c r="I30" i="12"/>
  <c r="H31" i="12"/>
  <c r="E57" i="8"/>
  <c r="E64" i="8" s="1"/>
  <c r="E66" i="8" s="1"/>
  <c r="L28" i="12"/>
  <c r="L35" i="12" s="1"/>
  <c r="K14" i="1"/>
  <c r="C16" i="2"/>
  <c r="D7" i="8"/>
  <c r="D5" i="12" s="1"/>
  <c r="G10" i="8"/>
  <c r="E12" i="8"/>
  <c r="E13" i="8" s="1"/>
  <c r="E11" i="12" s="1"/>
  <c r="C17" i="12"/>
  <c r="D27" i="12"/>
  <c r="D34" i="12" s="1"/>
  <c r="I28" i="12"/>
  <c r="I35" i="12" s="1"/>
  <c r="C31" i="12"/>
  <c r="K29" i="12"/>
  <c r="K36" i="12" s="1"/>
  <c r="J30" i="12"/>
  <c r="I31" i="12"/>
  <c r="O28" i="12"/>
  <c r="I14" i="1"/>
  <c r="J14" i="1"/>
  <c r="E10" i="8"/>
  <c r="D25" i="8"/>
  <c r="D18" i="12" s="1"/>
  <c r="N18" i="12" s="1"/>
  <c r="C27" i="12"/>
  <c r="L27" i="12"/>
  <c r="L34" i="12" s="1"/>
  <c r="G28" i="12"/>
  <c r="G35" i="12" s="1"/>
  <c r="E29" i="12"/>
  <c r="E36" i="12" s="1"/>
  <c r="D30" i="12"/>
  <c r="L30" i="12"/>
  <c r="K31" i="12"/>
  <c r="H28" i="12"/>
  <c r="H35" i="12" s="1"/>
  <c r="H37" i="12" s="1"/>
  <c r="L29" i="12"/>
  <c r="L36" i="12" s="1"/>
  <c r="I14" i="3"/>
  <c r="H14" i="1"/>
  <c r="D12" i="8"/>
  <c r="D13" i="8" s="1"/>
  <c r="D11" i="12" s="1"/>
  <c r="D22" i="8"/>
  <c r="D17" i="12"/>
  <c r="I27" i="12"/>
  <c r="I34" i="12" s="1"/>
  <c r="I37" i="12" s="1"/>
  <c r="K27" i="12"/>
  <c r="K34" i="12" s="1"/>
  <c r="F28" i="12"/>
  <c r="F35" i="12" s="1"/>
  <c r="F37" i="12" s="1"/>
  <c r="F29" i="12"/>
  <c r="F36" i="12" s="1"/>
  <c r="E30" i="12"/>
  <c r="L31" i="12"/>
  <c r="O35" i="12"/>
  <c r="C12" i="13"/>
  <c r="H11" i="13"/>
  <c r="M11" i="13" s="1"/>
  <c r="E6" i="1"/>
  <c r="E19" i="1" s="1"/>
  <c r="K10" i="8"/>
  <c r="H27" i="12"/>
  <c r="H34" i="12" s="1"/>
  <c r="E28" i="12"/>
  <c r="E35" i="12" s="1"/>
  <c r="E37" i="12" s="1"/>
  <c r="G29" i="12"/>
  <c r="G36" i="12" s="1"/>
  <c r="G37" i="12" s="1"/>
  <c r="F30" i="12"/>
  <c r="E31" i="12"/>
  <c r="F17" i="12"/>
  <c r="G27" i="12"/>
  <c r="G34" i="12" s="1"/>
  <c r="K23" i="2"/>
  <c r="L12" i="1"/>
  <c r="L13" i="1" s="1"/>
  <c r="L14" i="1" s="1"/>
  <c r="L25" i="1" s="1"/>
  <c r="M10" i="8"/>
  <c r="I10" i="8"/>
  <c r="G16" i="8"/>
  <c r="D57" i="8"/>
  <c r="D64" i="8" s="1"/>
  <c r="C62" i="8"/>
  <c r="D62" i="8"/>
  <c r="F27" i="12"/>
  <c r="F34" i="12" s="1"/>
  <c r="K28" i="12"/>
  <c r="K35" i="12" s="1"/>
  <c r="I29" i="12"/>
  <c r="I36" i="12" s="1"/>
  <c r="H30" i="12"/>
  <c r="L20" i="13"/>
  <c r="N19" i="13"/>
  <c r="O19" i="13" s="1"/>
  <c r="G20" i="13"/>
  <c r="D19" i="13"/>
  <c r="E19" i="13" s="1"/>
  <c r="B20" i="13"/>
  <c r="J37" i="12"/>
  <c r="D37" i="12"/>
  <c r="F64" i="8"/>
  <c r="F66" i="8" s="1"/>
  <c r="G12" i="8"/>
  <c r="G13" i="8" s="1"/>
  <c r="G11" i="12" s="1"/>
  <c r="F12" i="8"/>
  <c r="F18" i="8" s="1"/>
  <c r="C64" i="8"/>
  <c r="C66" i="8" s="1"/>
  <c r="F7" i="8"/>
  <c r="F5" i="12" s="1"/>
  <c r="L12" i="8"/>
  <c r="L13" i="8" s="1"/>
  <c r="L11" i="12" s="1"/>
  <c r="E7" i="8"/>
  <c r="E5" i="12" s="1"/>
  <c r="E16" i="8"/>
  <c r="C12" i="8"/>
  <c r="C13" i="8" s="1"/>
  <c r="C11" i="12" s="1"/>
  <c r="E18" i="8"/>
  <c r="F13" i="8"/>
  <c r="F11" i="12" s="1"/>
  <c r="F27" i="8"/>
  <c r="F19" i="8"/>
  <c r="M19" i="8"/>
  <c r="J57" i="8"/>
  <c r="K57" i="8"/>
  <c r="I57" i="8"/>
  <c r="L62" i="8"/>
  <c r="I62" i="8"/>
  <c r="K62" i="8"/>
  <c r="H62" i="8"/>
  <c r="J62" i="8"/>
  <c r="H57" i="8"/>
  <c r="L57" i="8"/>
  <c r="L64" i="8" s="1"/>
  <c r="L66" i="8" s="1"/>
  <c r="L7" i="8"/>
  <c r="L5" i="12" s="1"/>
  <c r="K7" i="8"/>
  <c r="K5" i="12" s="1"/>
  <c r="H16" i="8"/>
  <c r="G25" i="8"/>
  <c r="G18" i="12" s="1"/>
  <c r="M27" i="8"/>
  <c r="J22" i="8"/>
  <c r="M22" i="8"/>
  <c r="L25" i="8"/>
  <c r="L18" i="12" s="1"/>
  <c r="L16" i="8"/>
  <c r="H22" i="8"/>
  <c r="K25" i="8"/>
  <c r="K18" i="12" s="1"/>
  <c r="L22" i="8"/>
  <c r="J25" i="8"/>
  <c r="J18" i="12" s="1"/>
  <c r="K22" i="8"/>
  <c r="I25" i="8"/>
  <c r="I18" i="12" s="1"/>
  <c r="G22" i="8"/>
  <c r="J7" i="8"/>
  <c r="J5" i="12" s="1"/>
  <c r="H25" i="8"/>
  <c r="H18" i="12" s="1"/>
  <c r="M16" i="8"/>
  <c r="I22" i="8"/>
  <c r="M7" i="8"/>
  <c r="M25" i="8"/>
  <c r="K16" i="8"/>
  <c r="H7" i="8"/>
  <c r="H5" i="12" s="1"/>
  <c r="J16" i="8"/>
  <c r="I16" i="8"/>
  <c r="I13" i="8"/>
  <c r="I11" i="12" s="1"/>
  <c r="I7" i="8"/>
  <c r="I5" i="12" s="1"/>
  <c r="M13" i="8"/>
  <c r="M11" i="1"/>
  <c r="F20" i="2"/>
  <c r="J16" i="2"/>
  <c r="G16" i="2"/>
  <c r="E24" i="2"/>
  <c r="K25" i="1"/>
  <c r="M25" i="1" s="1"/>
  <c r="M14" i="1" s="1"/>
  <c r="B16" i="2"/>
  <c r="C20" i="2"/>
  <c r="J24" i="2"/>
  <c r="D24" i="2"/>
  <c r="I24" i="2"/>
  <c r="G24" i="2"/>
  <c r="D13" i="1"/>
  <c r="E13" i="1" s="1"/>
  <c r="E14" i="1" s="1"/>
  <c r="I25" i="1" s="1"/>
  <c r="C24" i="2"/>
  <c r="H24" i="2"/>
  <c r="J23" i="1"/>
  <c r="L19" i="1"/>
  <c r="L24" i="1" s="1"/>
  <c r="K6" i="1"/>
  <c r="K19" i="1" s="1"/>
  <c r="B23" i="2"/>
  <c r="I23" i="1"/>
  <c r="L9" i="1"/>
  <c r="M9" i="1" s="1"/>
  <c r="L8" i="1"/>
  <c r="G23" i="2"/>
  <c r="H23" i="1"/>
  <c r="B14" i="1"/>
  <c r="I16" i="2"/>
  <c r="K24" i="2"/>
  <c r="I6" i="1"/>
  <c r="I19" i="1" s="1"/>
  <c r="K24" i="1" s="1"/>
  <c r="M24" i="1" s="1"/>
  <c r="E1" i="2"/>
  <c r="I23" i="2"/>
  <c r="F24" i="2"/>
  <c r="J25" i="1"/>
  <c r="N8" i="1"/>
  <c r="M8" i="1"/>
  <c r="I20" i="2"/>
  <c r="H20" i="2"/>
  <c r="K23" i="1"/>
  <c r="M23" i="1" s="1"/>
  <c r="M4" i="1" s="1"/>
  <c r="H6" i="1"/>
  <c r="H19" i="1" s="1"/>
  <c r="J24" i="1" s="1"/>
  <c r="F6" i="1"/>
  <c r="F19" i="1" s="1"/>
  <c r="E1" i="4"/>
  <c r="O41" i="12" l="1"/>
  <c r="N39" i="12"/>
  <c r="D66" i="8"/>
  <c r="D18" i="8"/>
  <c r="F25" i="12"/>
  <c r="F21" i="12"/>
  <c r="F6" i="12"/>
  <c r="K37" i="12"/>
  <c r="N23" i="1"/>
  <c r="N4" i="1" s="1"/>
  <c r="C19" i="8"/>
  <c r="F12" i="12"/>
  <c r="F19" i="12"/>
  <c r="N35" i="12"/>
  <c r="F33" i="8"/>
  <c r="F7" i="12"/>
  <c r="C34" i="12"/>
  <c r="N27" i="12"/>
  <c r="O27" i="12"/>
  <c r="N5" i="12"/>
  <c r="O5" i="12"/>
  <c r="O30" i="12"/>
  <c r="N30" i="12"/>
  <c r="E27" i="8"/>
  <c r="E21" i="12"/>
  <c r="E25" i="12"/>
  <c r="E6" i="12"/>
  <c r="N29" i="12"/>
  <c r="N28" i="12"/>
  <c r="N31" i="12"/>
  <c r="O31" i="12"/>
  <c r="N9" i="1"/>
  <c r="H24" i="1"/>
  <c r="C13" i="13"/>
  <c r="H12" i="13"/>
  <c r="M12" i="13" s="1"/>
  <c r="L37" i="12"/>
  <c r="N36" i="12"/>
  <c r="O36" i="12"/>
  <c r="N17" i="12"/>
  <c r="O17" i="12"/>
  <c r="L21" i="13"/>
  <c r="N20" i="13"/>
  <c r="O20" i="13" s="1"/>
  <c r="G21" i="13"/>
  <c r="B21" i="13"/>
  <c r="D20" i="13"/>
  <c r="E20" i="13" s="1"/>
  <c r="M31" i="8"/>
  <c r="M33" i="8"/>
  <c r="M38" i="8" s="1"/>
  <c r="E19" i="8"/>
  <c r="E28" i="8"/>
  <c r="E14" i="12" s="1"/>
  <c r="E31" i="8"/>
  <c r="F31" i="8"/>
  <c r="F28" i="8"/>
  <c r="F14" i="12" s="1"/>
  <c r="D19" i="8"/>
  <c r="K64" i="8"/>
  <c r="H64" i="8"/>
  <c r="J64" i="8"/>
  <c r="I64" i="8"/>
  <c r="L18" i="8"/>
  <c r="M28" i="8"/>
  <c r="I18" i="8"/>
  <c r="G18" i="8"/>
  <c r="K18" i="8"/>
  <c r="K13" i="8"/>
  <c r="K11" i="12" s="1"/>
  <c r="H18" i="8"/>
  <c r="J18" i="8"/>
  <c r="J13" i="8"/>
  <c r="J11" i="12" s="1"/>
  <c r="N11" i="12" s="1"/>
  <c r="I24" i="1"/>
  <c r="D14" i="1"/>
  <c r="H25" i="1" s="1"/>
  <c r="N25" i="1" s="1"/>
  <c r="N14" i="1" s="1"/>
  <c r="M6" i="1"/>
  <c r="M10" i="1" s="1"/>
  <c r="M12" i="1" s="1"/>
  <c r="M13" i="1" s="1"/>
  <c r="M15" i="1" s="1"/>
  <c r="N41" i="12" l="1"/>
  <c r="O39" i="12"/>
  <c r="C12" i="12"/>
  <c r="C19" i="12"/>
  <c r="H25" i="12"/>
  <c r="H21" i="12"/>
  <c r="H6" i="12"/>
  <c r="H66" i="8"/>
  <c r="K25" i="12"/>
  <c r="K21" i="12"/>
  <c r="K6" i="12"/>
  <c r="K66" i="8"/>
  <c r="D12" i="12"/>
  <c r="D19" i="12"/>
  <c r="E19" i="12"/>
  <c r="E12" i="12"/>
  <c r="C14" i="13"/>
  <c r="H13" i="13"/>
  <c r="M13" i="13" s="1"/>
  <c r="I27" i="8"/>
  <c r="I25" i="12"/>
  <c r="I6" i="12"/>
  <c r="I21" i="12"/>
  <c r="C27" i="8"/>
  <c r="N24" i="1"/>
  <c r="N6" i="1" s="1"/>
  <c r="N34" i="12"/>
  <c r="O34" i="12"/>
  <c r="C37" i="12"/>
  <c r="D27" i="8"/>
  <c r="D6" i="12"/>
  <c r="D25" i="12"/>
  <c r="D21" i="12"/>
  <c r="J66" i="8"/>
  <c r="G25" i="12"/>
  <c r="G21" i="12"/>
  <c r="G6" i="12"/>
  <c r="L27" i="8"/>
  <c r="L25" i="12"/>
  <c r="L21" i="12"/>
  <c r="L6" i="12"/>
  <c r="E33" i="8"/>
  <c r="E7" i="12"/>
  <c r="O11" i="12"/>
  <c r="C25" i="12"/>
  <c r="I7" i="13" a="1"/>
  <c r="C21" i="12"/>
  <c r="J21" i="12"/>
  <c r="J6" i="12"/>
  <c r="J25" i="12"/>
  <c r="I66" i="8"/>
  <c r="L22" i="13"/>
  <c r="N21" i="13"/>
  <c r="O21" i="13" s="1"/>
  <c r="G22" i="13"/>
  <c r="B22" i="13"/>
  <c r="D21" i="13"/>
  <c r="E21" i="13" s="1"/>
  <c r="F34" i="8"/>
  <c r="F15" i="12" s="1"/>
  <c r="F38" i="8"/>
  <c r="G19" i="8"/>
  <c r="G27" i="8"/>
  <c r="G7" i="12" s="1"/>
  <c r="C28" i="8"/>
  <c r="C14" i="12" s="1"/>
  <c r="C31" i="8"/>
  <c r="C33" i="8"/>
  <c r="D31" i="8"/>
  <c r="D28" i="8"/>
  <c r="D14" i="12" s="1"/>
  <c r="I19" i="8"/>
  <c r="L19" i="8"/>
  <c r="M34" i="8"/>
  <c r="M44" i="8"/>
  <c r="M42" i="8"/>
  <c r="L28" i="8"/>
  <c r="L14" i="12" s="1"/>
  <c r="L31" i="8"/>
  <c r="K19" i="8"/>
  <c r="K27" i="8"/>
  <c r="J19" i="8"/>
  <c r="J27" i="8"/>
  <c r="I28" i="8"/>
  <c r="I14" i="12" s="1"/>
  <c r="I31" i="8"/>
  <c r="H19" i="8"/>
  <c r="H27" i="8"/>
  <c r="N10" i="1"/>
  <c r="N12" i="1" s="1"/>
  <c r="N13" i="1" s="1"/>
  <c r="N15" i="1" s="1"/>
  <c r="N5" i="1"/>
  <c r="M5" i="1"/>
  <c r="N40" i="12" l="1"/>
  <c r="I7" i="13"/>
  <c r="I12" i="13"/>
  <c r="J12" i="13" s="1"/>
  <c r="I15" i="13"/>
  <c r="I11" i="13"/>
  <c r="I13" i="13"/>
  <c r="J13" i="13" s="1"/>
  <c r="I10" i="13"/>
  <c r="J10" i="13" s="1"/>
  <c r="I9" i="13"/>
  <c r="I14" i="13"/>
  <c r="J14" i="13" s="1"/>
  <c r="I16" i="13"/>
  <c r="I8" i="13"/>
  <c r="J8" i="13" s="1"/>
  <c r="C15" i="13"/>
  <c r="H14" i="13"/>
  <c r="M14" i="13" s="1"/>
  <c r="N25" i="12"/>
  <c r="O25" i="12"/>
  <c r="L33" i="8"/>
  <c r="L7" i="12"/>
  <c r="N21" i="12"/>
  <c r="O21" i="12"/>
  <c r="O6" i="12"/>
  <c r="N6" i="12"/>
  <c r="O40" i="12"/>
  <c r="J33" i="8"/>
  <c r="J7" i="12"/>
  <c r="J12" i="12"/>
  <c r="J19" i="12"/>
  <c r="G12" i="12"/>
  <c r="O12" i="12" s="1"/>
  <c r="G19" i="12"/>
  <c r="N19" i="12" s="1"/>
  <c r="K33" i="8"/>
  <c r="K7" i="12"/>
  <c r="I12" i="12"/>
  <c r="I19" i="12"/>
  <c r="E38" i="8"/>
  <c r="E42" i="8" s="1"/>
  <c r="E44" i="8" s="1"/>
  <c r="E22" i="12" s="1"/>
  <c r="E34" i="8"/>
  <c r="E15" i="12" s="1"/>
  <c r="D7" i="12"/>
  <c r="D33" i="8"/>
  <c r="K19" i="12"/>
  <c r="K12" i="12"/>
  <c r="O37" i="12"/>
  <c r="N37" i="12"/>
  <c r="O19" i="12"/>
  <c r="H12" i="12"/>
  <c r="N12" i="12" s="1"/>
  <c r="H19" i="12"/>
  <c r="L12" i="12"/>
  <c r="L19" i="12"/>
  <c r="H33" i="8"/>
  <c r="H7" i="12"/>
  <c r="O13" i="12"/>
  <c r="N13" i="12"/>
  <c r="I33" i="8"/>
  <c r="I7" i="12"/>
  <c r="F8" i="12"/>
  <c r="N22" i="13"/>
  <c r="O22" i="13" s="1"/>
  <c r="L23" i="13"/>
  <c r="N23" i="13" s="1"/>
  <c r="G23" i="13"/>
  <c r="I23" i="13" s="1"/>
  <c r="B23" i="13"/>
  <c r="D23" i="13" s="1"/>
  <c r="D22" i="13"/>
  <c r="E22" i="13" s="1"/>
  <c r="G28" i="8"/>
  <c r="G14" i="12" s="1"/>
  <c r="N14" i="12" s="1"/>
  <c r="G33" i="8"/>
  <c r="C34" i="8"/>
  <c r="C15" i="12" s="1"/>
  <c r="C38" i="8"/>
  <c r="F42" i="8"/>
  <c r="F44" i="8" s="1"/>
  <c r="F22" i="12" s="1"/>
  <c r="F24" i="12" s="1"/>
  <c r="F39" i="8"/>
  <c r="D38" i="8"/>
  <c r="D34" i="8"/>
  <c r="D15" i="12" s="1"/>
  <c r="J28" i="8"/>
  <c r="J14" i="12" s="1"/>
  <c r="J31" i="8"/>
  <c r="G31" i="8"/>
  <c r="H28" i="8"/>
  <c r="H14" i="12" s="1"/>
  <c r="H31" i="8"/>
  <c r="I34" i="8"/>
  <c r="I15" i="12" s="1"/>
  <c r="K28" i="8"/>
  <c r="K14" i="12" s="1"/>
  <c r="O14" i="12" s="1"/>
  <c r="K31" i="8"/>
  <c r="L34" i="8"/>
  <c r="L15" i="12" s="1"/>
  <c r="L38" i="8"/>
  <c r="O23" i="13" l="1"/>
  <c r="H8" i="12"/>
  <c r="L8" i="12"/>
  <c r="J9" i="13"/>
  <c r="J8" i="12"/>
  <c r="G38" i="8"/>
  <c r="G8" i="12"/>
  <c r="E8" i="12"/>
  <c r="D8" i="12"/>
  <c r="K8" i="12"/>
  <c r="J11" i="13"/>
  <c r="I8" i="12"/>
  <c r="N7" i="12"/>
  <c r="O7" i="12"/>
  <c r="C16" i="13"/>
  <c r="H15" i="13"/>
  <c r="M15" i="13" s="1"/>
  <c r="J15" i="13"/>
  <c r="E23" i="13"/>
  <c r="I38" i="8"/>
  <c r="I42" i="8" s="1"/>
  <c r="I44" i="8" s="1"/>
  <c r="I22" i="12" s="1"/>
  <c r="I24" i="12" s="1"/>
  <c r="I22" i="13"/>
  <c r="E24" i="12"/>
  <c r="J16" i="13"/>
  <c r="I17" i="13"/>
  <c r="J17" i="13" s="1"/>
  <c r="I18" i="13"/>
  <c r="J18" i="13" s="1"/>
  <c r="I19" i="13"/>
  <c r="I20" i="13"/>
  <c r="J20" i="13" s="1"/>
  <c r="I21" i="13"/>
  <c r="J21" i="13" s="1"/>
  <c r="D39" i="8"/>
  <c r="D42" i="8"/>
  <c r="D44" i="8"/>
  <c r="D22" i="12" s="1"/>
  <c r="D24" i="12" s="1"/>
  <c r="E39" i="8"/>
  <c r="C42" i="8"/>
  <c r="C44" i="8" s="1"/>
  <c r="C24" i="12" s="1"/>
  <c r="G39" i="8"/>
  <c r="L42" i="8"/>
  <c r="L44" i="8" s="1"/>
  <c r="L22" i="12" s="1"/>
  <c r="L24" i="12" s="1"/>
  <c r="M39" i="8"/>
  <c r="G34" i="8"/>
  <c r="G15" i="12" s="1"/>
  <c r="N15" i="12" s="1"/>
  <c r="J38" i="8"/>
  <c r="J34" i="8"/>
  <c r="J15" i="12" s="1"/>
  <c r="H34" i="8"/>
  <c r="H15" i="12" s="1"/>
  <c r="H38" i="8"/>
  <c r="K34" i="8"/>
  <c r="K15" i="12" s="1"/>
  <c r="K38" i="8"/>
  <c r="C17" i="13" l="1"/>
  <c r="H16" i="13"/>
  <c r="M16" i="13" s="1"/>
  <c r="O8" i="12"/>
  <c r="N8" i="12"/>
  <c r="O15" i="12"/>
  <c r="N23" i="12"/>
  <c r="O23" i="12"/>
  <c r="J22" i="13"/>
  <c r="J23" i="13"/>
  <c r="J19" i="13"/>
  <c r="J42" i="8"/>
  <c r="J44" i="8" s="1"/>
  <c r="J22" i="12" s="1"/>
  <c r="J24" i="12" s="1"/>
  <c r="K42" i="8"/>
  <c r="K44" i="8" s="1"/>
  <c r="K22" i="12" s="1"/>
  <c r="K24" i="12" s="1"/>
  <c r="G42" i="8"/>
  <c r="G44" i="8" s="1"/>
  <c r="G22" i="12" s="1"/>
  <c r="G24" i="12" s="1"/>
  <c r="I39" i="8"/>
  <c r="H42" i="8"/>
  <c r="H44" i="8" s="1"/>
  <c r="H22" i="12" s="1"/>
  <c r="H24" i="12" s="1"/>
  <c r="J39" i="8"/>
  <c r="K39" i="8"/>
  <c r="H39" i="8"/>
  <c r="L39" i="8"/>
  <c r="C18" i="13" l="1"/>
  <c r="H17" i="13"/>
  <c r="M17" i="13" s="1"/>
  <c r="O22" i="12"/>
  <c r="N22" i="12"/>
  <c r="N24" i="12"/>
  <c r="O24" i="12"/>
  <c r="C19" i="13" l="1"/>
  <c r="H18" i="13"/>
  <c r="M18" i="13" s="1"/>
  <c r="C20" i="13" l="1"/>
  <c r="H19" i="13"/>
  <c r="M19" i="13" s="1"/>
  <c r="C21" i="13" l="1"/>
  <c r="H20" i="13"/>
  <c r="M20" i="13" s="1"/>
  <c r="C22" i="13" l="1"/>
  <c r="H21" i="13"/>
  <c r="M21" i="13" s="1"/>
  <c r="C23" i="13" l="1"/>
  <c r="H23" i="13" s="1"/>
  <c r="M23" i="13" s="1"/>
  <c r="H22" i="13"/>
  <c r="M22" i="13" s="1"/>
</calcChain>
</file>

<file path=xl/sharedStrings.xml><?xml version="1.0" encoding="utf-8"?>
<sst xmlns="http://schemas.openxmlformats.org/spreadsheetml/2006/main" count="670" uniqueCount="394">
  <si>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</si>
  <si>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</si>
  <si>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</si>
  <si>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</si>
  <si>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</si>
  <si>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</si>
  <si>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</si>
  <si>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</si>
  <si>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</si>
  <si>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</si>
  <si>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</si>
  <si>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</si>
  <si>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</si>
  <si>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</si>
  <si>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</si>
  <si>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</si>
  <si>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</si>
  <si>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</si>
  <si>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</si>
  <si>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</si>
  <si>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</si>
  <si>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</si>
  <si>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</si>
  <si>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</si>
  <si>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</si>
  <si>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</si>
  <si>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</si>
  <si>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</si>
  <si>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</si>
  <si>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</si>
  <si>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</si>
  <si>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</si>
  <si>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</si>
  <si>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</si>
  <si>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</si>
  <si>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</si>
  <si>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</si>
  <si>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</si>
  <si>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</si>
  <si>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</si>
  <si>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</si>
  <si>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</si>
  <si>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</si>
  <si>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</si>
  <si>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</si>
  <si>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</si>
  <si>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</si>
  <si>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</si>
  <si>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</si>
  <si>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</si>
  <si>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</si>
  <si>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</si>
  <si>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</si>
  <si>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</si>
  <si>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</si>
  <si>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</si>
  <si>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</si>
  <si>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</si>
  <si>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</si>
  <si>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</si>
  <si>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</si>
  <si>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</si>
  <si>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</si>
  <si>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HINDUSTAN UNILEVER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</si>
  <si>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</si>
  <si>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</si>
  <si>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</si>
  <si>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</si>
  <si>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</si>
  <si>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</si>
  <si>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</si>
  <si>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</si>
  <si>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</si>
  <si>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</si>
  <si>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</si>
  <si>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</si>
  <si>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</si>
  <si>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</si>
  <si>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</si>
  <si>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</si>
  <si>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</si>
  <si>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</si>
  <si>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</si>
  <si>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</si>
  <si>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</si>
  <si>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</si>
  <si>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</si>
  <si>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</si>
  <si>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</si>
  <si>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</si>
  <si>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</si>
  <si>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</si>
  <si>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</si>
  <si>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Years</t>
  </si>
  <si>
    <t>LTM</t>
  </si>
  <si>
    <t>Income statement</t>
  </si>
  <si>
    <t>#</t>
  </si>
  <si>
    <t>sales</t>
  </si>
  <si>
    <t>sales growth</t>
  </si>
  <si>
    <t>COGS</t>
  </si>
  <si>
    <t>COGS% sales</t>
  </si>
  <si>
    <t>Gross Profit</t>
  </si>
  <si>
    <t>Selling and general exp</t>
  </si>
  <si>
    <t>S&amp;G% sales</t>
  </si>
  <si>
    <t>EBITDA</t>
  </si>
  <si>
    <t>EBITDA% Sales</t>
  </si>
  <si>
    <t>Interest% sales</t>
  </si>
  <si>
    <t>Depriciation</t>
  </si>
  <si>
    <t>Depriciation%sales</t>
  </si>
  <si>
    <t>gross margin</t>
  </si>
  <si>
    <t>Earning before tax</t>
  </si>
  <si>
    <t>EBT%SALES</t>
  </si>
  <si>
    <t>effective tax rate</t>
  </si>
  <si>
    <t>net margin</t>
  </si>
  <si>
    <t>No of equity shares</t>
  </si>
  <si>
    <t>Dividend and share</t>
  </si>
  <si>
    <t>EPS Growth</t>
  </si>
  <si>
    <t>dividend payout ratio</t>
  </si>
  <si>
    <t>Retained earnings</t>
  </si>
  <si>
    <t>Balance sheet</t>
  </si>
  <si>
    <t>Total Liabilities</t>
  </si>
  <si>
    <t>Fixed assets Net Block</t>
  </si>
  <si>
    <t>Total  non current Assets</t>
  </si>
  <si>
    <t>total current assets</t>
  </si>
  <si>
    <t>total assests</t>
  </si>
  <si>
    <t xml:space="preserve">Check 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</si>
  <si>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</si>
  <si>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</si>
  <si>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</si>
  <si>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</si>
  <si>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</si>
  <si>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</si>
  <si>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</si>
  <si>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</si>
  <si>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</si>
  <si>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</si>
  <si>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</si>
  <si>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</si>
  <si>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Redemp n Canc of Shares</t>
  </si>
  <si>
    <t>Acquisition of companies</t>
  </si>
  <si>
    <t>Other investing items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</si>
  <si>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</si>
  <si>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</si>
  <si>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</si>
  <si>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</si>
  <si>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</si>
  <si>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</si>
  <si>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</si>
  <si>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</t>
  </si>
  <si>
    <t xml:space="preserve">Cah from operating activities  </t>
  </si>
  <si>
    <t>Operating activities</t>
  </si>
  <si>
    <t>Financing activities</t>
  </si>
  <si>
    <t>Cash from financing activities</t>
  </si>
  <si>
    <t>Investing activities</t>
  </si>
  <si>
    <t>Cash from investing activities</t>
  </si>
  <si>
    <t>Net cash flow</t>
  </si>
  <si>
    <t>Consolidated Figures in Rs. Crores / View Standalone</t>
  </si>
  <si>
    <t>Inventory Days</t>
  </si>
  <si>
    <t>Days Payable</t>
  </si>
  <si>
    <t>Cash Conversion Cycle</t>
  </si>
  <si>
    <t>Working Capital Days</t>
  </si>
  <si>
    <t>ROCE %</t>
  </si>
  <si>
    <t xml:space="preserve">   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</si>
  <si>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</si>
  <si>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</si>
  <si>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</si>
  <si>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</si>
  <si>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</si>
  <si>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</si>
  <si>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</si>
  <si>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</si>
  <si>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</si>
  <si>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 expenses/sales</t>
  </si>
  <si>
    <t>depriciation% sales</t>
  </si>
  <si>
    <t>operating income%sales</t>
  </si>
  <si>
    <t>Return on capital employed</t>
  </si>
  <si>
    <t xml:space="preserve">Retained earning </t>
  </si>
  <si>
    <t>self susatined growth rate</t>
  </si>
  <si>
    <t>Return on equity%</t>
  </si>
  <si>
    <t>interest coverage ratio</t>
  </si>
  <si>
    <t>Debtor turnover ratio</t>
  </si>
  <si>
    <t>Creditor turnover ratio</t>
  </si>
  <si>
    <t>Inventory turnover</t>
  </si>
  <si>
    <t xml:space="preserve">Fixed asset turnover </t>
  </si>
  <si>
    <t>Capital turnover ratio</t>
  </si>
  <si>
    <t>debtor days</t>
  </si>
  <si>
    <t>payable days</t>
  </si>
  <si>
    <t xml:space="preserve">inventory days </t>
  </si>
  <si>
    <t>cash conversion cycle</t>
  </si>
  <si>
    <t>(in days )</t>
  </si>
  <si>
    <t>CFO/Sales</t>
  </si>
  <si>
    <t xml:space="preserve">CFO/ Total assets </t>
  </si>
  <si>
    <t>CFO/ Debt</t>
  </si>
  <si>
    <t xml:space="preserve"> Mean</t>
  </si>
  <si>
    <t>Median</t>
  </si>
  <si>
    <t xml:space="preserve">Trend </t>
  </si>
  <si>
    <t>year weight</t>
  </si>
  <si>
    <t>year</t>
  </si>
  <si>
    <t>Sales growth</t>
  </si>
  <si>
    <t>EBITDA Growth</t>
  </si>
  <si>
    <t>NP growth</t>
  </si>
  <si>
    <r>
      <t>Cash from Operating Activity </t>
    </r>
    <r>
      <rPr>
        <sz val="11"/>
        <color rgb="FF665EFD"/>
        <rFont val="Arial"/>
        <family val="2"/>
      </rPr>
      <t>-</t>
    </r>
  </si>
  <si>
    <t>Other operating items</t>
  </si>
  <si>
    <t>Exceptional CF items</t>
  </si>
  <si>
    <r>
      <t>Cash from Investing Activity </t>
    </r>
    <r>
      <rPr>
        <sz val="11"/>
        <color rgb="FF665EFD"/>
        <rFont val="Arial"/>
        <family val="2"/>
      </rPr>
      <t>-</t>
    </r>
  </si>
  <si>
    <t>Invest in subsidiaries</t>
  </si>
  <si>
    <t>Loans to subsidiaries</t>
  </si>
  <si>
    <r>
      <t>Cash from Financing Activity </t>
    </r>
    <r>
      <rPr>
        <sz val="11"/>
        <color rgb="FF665EFD"/>
        <rFont val="Arial"/>
        <family val="2"/>
      </rPr>
      <t>-</t>
    </r>
  </si>
  <si>
    <t>Investment in Subsidaries</t>
  </si>
  <si>
    <t>Loans to subsidaries</t>
  </si>
  <si>
    <t xml:space="preserve">Particulars </t>
  </si>
  <si>
    <t>Total liabilities</t>
  </si>
  <si>
    <t>Total assets</t>
  </si>
  <si>
    <t>Company name</t>
  </si>
  <si>
    <t>country</t>
  </si>
  <si>
    <t>Total debt</t>
  </si>
  <si>
    <t>Total equity</t>
  </si>
  <si>
    <t>Debt/</t>
  </si>
  <si>
    <t>Equity</t>
  </si>
  <si>
    <t>Levered</t>
  </si>
  <si>
    <t>Unlevered</t>
  </si>
  <si>
    <t>Capital</t>
  </si>
  <si>
    <t>Hindustan Unilever</t>
  </si>
  <si>
    <t>India</t>
  </si>
  <si>
    <t>Hind. Unilever</t>
  </si>
  <si>
    <t>Nestle India</t>
  </si>
  <si>
    <t>Varun Beverages</t>
  </si>
  <si>
    <t>Britannia Inds.</t>
  </si>
  <si>
    <t>Godrej Consumer</t>
  </si>
  <si>
    <t>S.No.</t>
  </si>
  <si>
    <t>Name</t>
  </si>
  <si>
    <t>Debt / Eq</t>
  </si>
  <si>
    <t>CMP Rs.</t>
  </si>
  <si>
    <t xml:space="preserve">Mar Cap Rs.Cr. </t>
  </si>
  <si>
    <t>Debt Rs.Cr.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</si>
  <si>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</si>
  <si>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</si>
  <si>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Beta</t>
    </r>
    <r>
      <rPr>
        <vertAlign val="superscript"/>
        <sz val="11"/>
        <color theme="1"/>
        <rFont val="Calibri"/>
        <family val="2"/>
        <scheme val="minor"/>
      </rPr>
      <t xml:space="preserve"> 3</t>
    </r>
  </si>
  <si>
    <t xml:space="preserve">Average </t>
  </si>
  <si>
    <t>Cost of debt</t>
  </si>
  <si>
    <t xml:space="preserve">Pre tax debt </t>
  </si>
  <si>
    <t xml:space="preserve">Tax rate </t>
  </si>
  <si>
    <t>Cost of equity</t>
  </si>
  <si>
    <t xml:space="preserve">Risk free Market </t>
  </si>
  <si>
    <t>Market Premium</t>
  </si>
  <si>
    <t xml:space="preserve">Levered Beta </t>
  </si>
  <si>
    <t>Market capital Structure</t>
  </si>
  <si>
    <t>Total Market capital</t>
  </si>
  <si>
    <t>Total Capital</t>
  </si>
  <si>
    <t>Current</t>
  </si>
  <si>
    <t>Target</t>
  </si>
  <si>
    <t xml:space="preserve">Unlevered beta </t>
  </si>
  <si>
    <t>Tax rate</t>
  </si>
  <si>
    <t>Debt/Equity</t>
  </si>
  <si>
    <t>Levered beta</t>
  </si>
  <si>
    <t>Weighted Average Cost of Capital</t>
  </si>
  <si>
    <t>Total Debt</t>
  </si>
  <si>
    <t>Total Equity</t>
  </si>
  <si>
    <t>WACC</t>
  </si>
  <si>
    <t>Date</t>
  </si>
  <si>
    <t>Closing price</t>
  </si>
  <si>
    <t>Nestle india</t>
  </si>
  <si>
    <t xml:space="preserve">Nifty50 </t>
  </si>
  <si>
    <t>Returns</t>
  </si>
  <si>
    <t xml:space="preserve">Returns </t>
  </si>
  <si>
    <t>Britania india</t>
  </si>
  <si>
    <t>Goderej india</t>
  </si>
  <si>
    <t xml:space="preserve">Nestle beta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</si>
  <si>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</si>
  <si>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</si>
  <si>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</si>
  <si>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</si>
  <si>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</si>
  <si>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</si>
  <si>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</si>
  <si>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</si>
  <si>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</si>
  <si>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</si>
  <si>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</si>
  <si>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</si>
  <si>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</si>
  <si>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</si>
  <si>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</si>
  <si>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</si>
  <si>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</si>
  <si>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</si>
  <si>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</si>
  <si>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</si>
  <si>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</si>
  <si>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</si>
  <si>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</si>
  <si>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</si>
  <si>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</t>
  </si>
  <si>
    <t>Beta weight</t>
  </si>
  <si>
    <t>Market weight</t>
  </si>
  <si>
    <t xml:space="preserve">Ajdjusted beta </t>
  </si>
  <si>
    <t>Market Beta</t>
  </si>
  <si>
    <t xml:space="preserve">Vedant Beverage beta </t>
  </si>
  <si>
    <t xml:space="preserve">Britania beta </t>
  </si>
  <si>
    <t xml:space="preserve">Goderej beta </t>
  </si>
  <si>
    <t>Hindustan uniliver india</t>
  </si>
  <si>
    <t xml:space="preserve">Hindustan Unilever beta </t>
  </si>
  <si>
    <t>Target Debt/Equity</t>
  </si>
  <si>
    <t>Year</t>
  </si>
  <si>
    <t>Annual</t>
  </si>
  <si>
    <t>Average return</t>
  </si>
  <si>
    <t>dividend yield</t>
  </si>
  <si>
    <t>Prime investor</t>
  </si>
  <si>
    <t>total market return</t>
  </si>
  <si>
    <t>Total cost</t>
  </si>
  <si>
    <t>Total weight</t>
  </si>
  <si>
    <t>Particulars</t>
  </si>
  <si>
    <t>Calculation of ROIC</t>
  </si>
  <si>
    <t>Current Assets</t>
  </si>
  <si>
    <t>Equity Capital</t>
  </si>
  <si>
    <r>
      <t>Borrowings </t>
    </r>
    <r>
      <rPr>
        <sz val="11"/>
        <color rgb="FF665EFD"/>
        <rFont val="Arial"/>
        <family val="2"/>
      </rPr>
      <t>-</t>
    </r>
  </si>
  <si>
    <t>Long term Borrowings</t>
  </si>
  <si>
    <t>Short term Borrowings</t>
  </si>
  <si>
    <t>Lease Liabilities</t>
  </si>
  <si>
    <r>
      <t>Other Liabilities </t>
    </r>
    <r>
      <rPr>
        <sz val="11"/>
        <color rgb="FF665EFD"/>
        <rFont val="Arial"/>
        <family val="2"/>
      </rPr>
      <t>-</t>
    </r>
  </si>
  <si>
    <t>Non controlling int</t>
  </si>
  <si>
    <t>Trade Payables</t>
  </si>
  <si>
    <t>Advance from Customers</t>
  </si>
  <si>
    <t>Other liability items</t>
  </si>
  <si>
    <r>
      <t>Fixed Assets </t>
    </r>
    <r>
      <rPr>
        <sz val="11"/>
        <color rgb="FF665EFD"/>
        <rFont val="Arial"/>
        <family val="2"/>
      </rPr>
      <t>-</t>
    </r>
  </si>
  <si>
    <t>Land</t>
  </si>
  <si>
    <t>Building</t>
  </si>
  <si>
    <t>Plant Machinery</t>
  </si>
  <si>
    <t>Equipments</t>
  </si>
  <si>
    <t>Furniture n fittings</t>
  </si>
  <si>
    <t>Railway sidings</t>
  </si>
  <si>
    <t>Vehicles</t>
  </si>
  <si>
    <t>Intangible Assets</t>
  </si>
  <si>
    <t>Other fixed assets</t>
  </si>
  <si>
    <t>Gross Block</t>
  </si>
  <si>
    <t>Accumulated Depreciation</t>
  </si>
  <si>
    <t>CWIP</t>
  </si>
  <si>
    <r>
      <t>Other Assets </t>
    </r>
    <r>
      <rPr>
        <sz val="11"/>
        <color rgb="FF665EFD"/>
        <rFont val="Arial"/>
        <family val="2"/>
      </rPr>
      <t>-</t>
    </r>
  </si>
  <si>
    <t>Inventories</t>
  </si>
  <si>
    <t>Cash Equivalents</t>
  </si>
  <si>
    <t>Loans n Advances</t>
  </si>
  <si>
    <t>Other asset items</t>
  </si>
  <si>
    <t>Total Assets</t>
  </si>
  <si>
    <t>Net block</t>
  </si>
  <si>
    <t>Trade receivables </t>
  </si>
  <si>
    <t>Total current asset</t>
  </si>
  <si>
    <t>Current Liabilities</t>
  </si>
  <si>
    <t>Net working capital</t>
  </si>
  <si>
    <t>Non current assets</t>
  </si>
  <si>
    <t xml:space="preserve">Net non current assets </t>
  </si>
  <si>
    <t>Invested Capital</t>
  </si>
  <si>
    <t>EBIT</t>
  </si>
  <si>
    <t>ROIC</t>
  </si>
  <si>
    <t>Calculation of Reinvestemnt Rate</t>
  </si>
  <si>
    <t>Net Capex</t>
  </si>
  <si>
    <t>Change in Working capital</t>
  </si>
  <si>
    <t>Marginal Tax rate</t>
  </si>
  <si>
    <t>EBIT(1-tax rate)</t>
  </si>
  <si>
    <t>Reinvestment</t>
  </si>
  <si>
    <t>Reinvestment Rate</t>
  </si>
  <si>
    <t>Calculation of PV of FCFF</t>
  </si>
  <si>
    <t>EBIT(1-T)</t>
  </si>
  <si>
    <t>less: Reinvestment rate</t>
  </si>
  <si>
    <t>Free cash flow</t>
  </si>
  <si>
    <t>mid year convention</t>
  </si>
  <si>
    <t xml:space="preserve">discounting factor </t>
  </si>
  <si>
    <t>PV of FCFF</t>
  </si>
  <si>
    <t>Expected Growth</t>
  </si>
  <si>
    <t>Terminal growth</t>
  </si>
  <si>
    <t>4 year average</t>
  </si>
  <si>
    <t>4 year median</t>
  </si>
  <si>
    <t xml:space="preserve">Reinvestment Rate </t>
  </si>
  <si>
    <t>Insintric Growth</t>
  </si>
  <si>
    <t>Calculation of Terminal Value</t>
  </si>
  <si>
    <t>FCFF(n+1)</t>
  </si>
  <si>
    <t>Terminal growth Rate</t>
  </si>
  <si>
    <t>Terminal Value</t>
  </si>
  <si>
    <t>Calculation of Equity Value per share</t>
  </si>
  <si>
    <t xml:space="preserve">PV of terminal Value </t>
  </si>
  <si>
    <t>Value of operating Asset</t>
  </si>
  <si>
    <t>Add: Cash</t>
  </si>
  <si>
    <t>Less: Debt</t>
  </si>
  <si>
    <t>Value of equity</t>
  </si>
  <si>
    <t>No of shares</t>
  </si>
  <si>
    <t>Equity value per share</t>
  </si>
  <si>
    <t>Beta drifting  (Nestle)</t>
  </si>
  <si>
    <t>Beta drifting (Varun)</t>
  </si>
  <si>
    <t>Beta drifting  (Britania )</t>
  </si>
  <si>
    <t>Beta drifting  (Godrej)</t>
  </si>
  <si>
    <t>Beta drifting  (HUL)</t>
  </si>
  <si>
    <t>Undervalued/ overvalued</t>
  </si>
  <si>
    <t>Share price</t>
  </si>
  <si>
    <t>wacc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</si>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</sst>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#,##0.00;\ \(#,##0.00\);\-"/>
    <numFmt numFmtId="167" formatCode="&quot;₹&quot;\ #,##0.00"/>
    <numFmt numFmtId="168" formatCode="&quot;₹&quot;\ #,##0.00;&quot;₹&quot;\ \(#,##0.00\);\-"/>
    <numFmt numFmtId="169" formatCode="&quot;₹&quot;\ #,##0.0;&quot;₹&quot;\ \(#,##0.0\);\-"/>
    <numFmt numFmtId="170" formatCode="0.0%"/>
    <numFmt numFmtId="171" formatCode="0.00&quot;x&quot;"/>
    <numFmt numFmtId="172" formatCode="yyyy&quot;A&quot;"/>
    <numFmt numFmtId="173" formatCode="yyyy&quot;E&quot;"/>
    <numFmt numFmtId="174" formatCode="#,##0.0"/>
    <numFmt numFmtId="175" formatCode="0.000%"/>
    <numFmt numFmtId="176" formatCode="#,##0.0;\(#,##0.0\);\-"/>
    <numFmt numFmtId="177" formatCode="0.000"/>
    <numFmt numFmtId="178" formatCode="mmm/yy\ &quot;A&quot;"/>
    <numFmt numFmtId="179" formatCode="mmm/yy\ &quot;E&quot;"/>
    <numFmt numFmtId="180" formatCode="#,##0.00;\(#,##0.00\)"/>
    <numFmt numFmtId="181" formatCode="0.00\ &quot;x&quot;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606F7B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rgb="FF606F7B"/>
      <name val="Arial"/>
      <family val="2"/>
    </font>
    <font>
      <sz val="11"/>
      <color rgb="FF22222F"/>
      <name val="Arial"/>
      <family val="2"/>
    </font>
    <font>
      <sz val="11"/>
      <color rgb="FF665EFD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0070C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606F7B"/>
      <name val="Arial"/>
      <family val="2"/>
    </font>
    <font>
      <sz val="11"/>
      <color rgb="FF22222F"/>
      <name val="Arial"/>
      <family val="2"/>
    </font>
    <font>
      <sz val="9"/>
      <color rgb="FF22222F"/>
      <name val="Arial"/>
      <family val="2"/>
    </font>
    <font>
      <sz val="11"/>
      <color theme="0" tint="-4.9989318521683403E-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DBE4F0"/>
      </top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27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0" fontId="5" fillId="6" borderId="0" xfId="0" applyFont="1" applyFill="1"/>
    <xf numFmtId="17" fontId="5" fillId="6" borderId="0" xfId="0" applyNumberFormat="1" applyFont="1" applyFill="1" applyAlignment="1">
      <alignment horizontal="right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6" applyNumberFormat="1" applyFont="1"/>
    <xf numFmtId="0" fontId="10" fillId="0" borderId="0" xfId="0" applyFont="1"/>
    <xf numFmtId="10" fontId="10" fillId="0" borderId="0" xfId="6" applyNumberFormat="1" applyFont="1"/>
    <xf numFmtId="0" fontId="11" fillId="0" borderId="0" xfId="0" applyFont="1"/>
    <xf numFmtId="10" fontId="11" fillId="0" borderId="0" xfId="6" applyNumberFormat="1" applyFont="1"/>
    <xf numFmtId="0" fontId="5" fillId="7" borderId="0" xfId="0" applyFont="1" applyFill="1"/>
    <xf numFmtId="17" fontId="5" fillId="7" borderId="0" xfId="0" applyNumberFormat="1" applyFont="1" applyFill="1" applyAlignment="1">
      <alignment horizontal="right"/>
    </xf>
    <xf numFmtId="0" fontId="0" fillId="8" borderId="0" xfId="0" applyFill="1"/>
    <xf numFmtId="0" fontId="1" fillId="8" borderId="0" xfId="0" applyFont="1" applyFill="1"/>
    <xf numFmtId="0" fontId="12" fillId="0" borderId="0" xfId="0" applyFont="1"/>
    <xf numFmtId="10" fontId="12" fillId="0" borderId="0" xfId="6" applyNumberFormat="1" applyFont="1"/>
    <xf numFmtId="17" fontId="5" fillId="6" borderId="0" xfId="0" applyNumberFormat="1" applyFont="1" applyFill="1"/>
    <xf numFmtId="17" fontId="13" fillId="9" borderId="0" xfId="0" applyNumberFormat="1" applyFont="1" applyFill="1" applyAlignment="1">
      <alignment horizontal="right" vertical="center" wrapText="1"/>
    </xf>
    <xf numFmtId="3" fontId="14" fillId="10" borderId="1" xfId="0" applyNumberFormat="1" applyFont="1" applyFill="1" applyBorder="1" applyAlignment="1">
      <alignment horizontal="right" vertical="center" wrapText="1"/>
    </xf>
    <xf numFmtId="3" fontId="0" fillId="10" borderId="0" xfId="0" applyNumberFormat="1" applyFill="1" applyAlignment="1">
      <alignment horizontal="right" vertical="center" wrapText="1"/>
    </xf>
    <xf numFmtId="0" fontId="0" fillId="10" borderId="0" xfId="0" applyFill="1" applyAlignment="1">
      <alignment horizontal="right" vertical="center" wrapText="1"/>
    </xf>
    <xf numFmtId="0" fontId="14" fillId="9" borderId="1" xfId="0" applyFont="1" applyFill="1" applyBorder="1" applyAlignment="1">
      <alignment horizontal="left" vertical="center" indent="1"/>
    </xf>
    <xf numFmtId="3" fontId="14" fillId="9" borderId="1" xfId="0" applyNumberFormat="1" applyFont="1" applyFill="1" applyBorder="1" applyAlignment="1">
      <alignment horizontal="right" vertical="center" wrapText="1"/>
    </xf>
    <xf numFmtId="3" fontId="0" fillId="9" borderId="0" xfId="0" applyNumberFormat="1" applyFill="1" applyAlignment="1">
      <alignment horizontal="right" vertical="center" wrapText="1"/>
    </xf>
    <xf numFmtId="0" fontId="0" fillId="9" borderId="0" xfId="0" applyFill="1" applyAlignment="1">
      <alignment horizontal="right" vertical="center" wrapText="1"/>
    </xf>
    <xf numFmtId="0" fontId="14" fillId="9" borderId="1" xfId="0" applyFont="1" applyFill="1" applyBorder="1" applyAlignment="1">
      <alignment horizontal="right" vertical="center" wrapText="1"/>
    </xf>
    <xf numFmtId="0" fontId="4" fillId="0" borderId="0" xfId="2" applyAlignment="1" applyProtection="1">
      <alignment vertical="center"/>
    </xf>
    <xf numFmtId="0" fontId="13" fillId="9" borderId="0" xfId="0" applyFont="1" applyFill="1" applyAlignment="1">
      <alignment horizontal="left" vertical="center" indent="1"/>
    </xf>
    <xf numFmtId="0" fontId="0" fillId="10" borderId="0" xfId="0" applyFill="1" applyAlignment="1">
      <alignment horizontal="left" vertical="center" indent="1"/>
    </xf>
    <xf numFmtId="0" fontId="0" fillId="9" borderId="0" xfId="0" applyFill="1" applyAlignment="1">
      <alignment horizontal="left" vertical="center" indent="1"/>
    </xf>
    <xf numFmtId="9" fontId="0" fillId="9" borderId="0" xfId="0" applyNumberFormat="1" applyFill="1" applyAlignment="1">
      <alignment horizontal="right" vertical="center" wrapText="1"/>
    </xf>
    <xf numFmtId="0" fontId="1" fillId="0" borderId="2" xfId="0" applyFont="1" applyBorder="1"/>
    <xf numFmtId="167" fontId="1" fillId="0" borderId="2" xfId="0" applyNumberFormat="1" applyFont="1" applyBorder="1"/>
    <xf numFmtId="168" fontId="1" fillId="0" borderId="2" xfId="0" applyNumberFormat="1" applyFont="1" applyBorder="1"/>
    <xf numFmtId="166" fontId="1" fillId="0" borderId="2" xfId="0" applyNumberFormat="1" applyFont="1" applyBorder="1"/>
    <xf numFmtId="169" fontId="1" fillId="0" borderId="2" xfId="0" applyNumberFormat="1" applyFont="1" applyBorder="1"/>
    <xf numFmtId="0" fontId="0" fillId="0" borderId="2" xfId="0" applyBorder="1"/>
    <xf numFmtId="168" fontId="0" fillId="0" borderId="2" xfId="0" applyNumberFormat="1" applyBorder="1"/>
    <xf numFmtId="43" fontId="1" fillId="0" borderId="2" xfId="1" applyFont="1" applyBorder="1"/>
    <xf numFmtId="43" fontId="1" fillId="0" borderId="2" xfId="1" applyFont="1" applyFill="1" applyBorder="1"/>
    <xf numFmtId="171" fontId="0" fillId="0" borderId="0" xfId="6" applyNumberFormat="1" applyFont="1"/>
    <xf numFmtId="0" fontId="0" fillId="0" borderId="4" xfId="0" applyBorder="1"/>
    <xf numFmtId="10" fontId="0" fillId="0" borderId="4" xfId="6" applyNumberFormat="1" applyFont="1" applyBorder="1"/>
    <xf numFmtId="10" fontId="0" fillId="0" borderId="0" xfId="6" applyNumberFormat="1" applyFont="1" applyBorder="1"/>
    <xf numFmtId="0" fontId="0" fillId="0" borderId="5" xfId="0" applyBorder="1"/>
    <xf numFmtId="10" fontId="0" fillId="0" borderId="5" xfId="6" applyNumberFormat="1" applyFont="1" applyBorder="1"/>
    <xf numFmtId="171" fontId="0" fillId="0" borderId="5" xfId="6" applyNumberFormat="1" applyFont="1" applyBorder="1"/>
    <xf numFmtId="171" fontId="0" fillId="0" borderId="4" xfId="6" applyNumberFormat="1" applyFont="1" applyBorder="1"/>
    <xf numFmtId="171" fontId="0" fillId="0" borderId="0" xfId="6" applyNumberFormat="1" applyFont="1" applyBorder="1"/>
    <xf numFmtId="1" fontId="0" fillId="0" borderId="0" xfId="6" applyNumberFormat="1" applyFont="1" applyBorder="1"/>
    <xf numFmtId="1" fontId="0" fillId="0" borderId="5" xfId="6" applyNumberFormat="1" applyFont="1" applyBorder="1"/>
    <xf numFmtId="0" fontId="0" fillId="6" borderId="0" xfId="0" applyFill="1"/>
    <xf numFmtId="17" fontId="5" fillId="6" borderId="0" xfId="0" applyNumberFormat="1" applyFont="1" applyFill="1" applyAlignment="1">
      <alignment horizontal="center"/>
    </xf>
    <xf numFmtId="0" fontId="0" fillId="0" borderId="6" xfId="0" applyBorder="1"/>
    <xf numFmtId="10" fontId="0" fillId="0" borderId="6" xfId="6" applyNumberFormat="1" applyFont="1" applyBorder="1"/>
    <xf numFmtId="0" fontId="0" fillId="0" borderId="7" xfId="0" applyBorder="1"/>
    <xf numFmtId="10" fontId="0" fillId="0" borderId="8" xfId="6" applyNumberFormat="1" applyFont="1" applyBorder="1"/>
    <xf numFmtId="171" fontId="0" fillId="0" borderId="8" xfId="6" applyNumberFormat="1" applyFont="1" applyBorder="1"/>
    <xf numFmtId="171" fontId="0" fillId="0" borderId="9" xfId="6" applyNumberFormat="1" applyFont="1" applyBorder="1"/>
    <xf numFmtId="1" fontId="0" fillId="0" borderId="8" xfId="6" applyNumberFormat="1" applyFont="1" applyBorder="1"/>
    <xf numFmtId="10" fontId="0" fillId="0" borderId="3" xfId="6" applyNumberFormat="1" applyFont="1" applyBorder="1"/>
    <xf numFmtId="0" fontId="5" fillId="6" borderId="0" xfId="0" applyFont="1" applyFill="1" applyAlignment="1">
      <alignment horizontal="left" vertical="center" indent="49"/>
    </xf>
    <xf numFmtId="0" fontId="15" fillId="11" borderId="0" xfId="0" applyFont="1" applyFill="1" applyAlignment="1">
      <alignment horizontal="right" vertical="center"/>
    </xf>
    <xf numFmtId="0" fontId="15" fillId="11" borderId="0" xfId="0" applyFont="1" applyFill="1" applyAlignment="1">
      <alignment horizontal="center" vertical="center"/>
    </xf>
    <xf numFmtId="172" fontId="0" fillId="0" borderId="0" xfId="0" applyNumberFormat="1"/>
    <xf numFmtId="174" fontId="0" fillId="0" borderId="0" xfId="0" applyNumberFormat="1"/>
    <xf numFmtId="10" fontId="0" fillId="0" borderId="0" xfId="6" applyNumberFormat="1" applyFont="1"/>
    <xf numFmtId="0" fontId="0" fillId="12" borderId="0" xfId="0" applyFill="1" applyAlignment="1">
      <alignment horizontal="left"/>
    </xf>
    <xf numFmtId="173" fontId="0" fillId="12" borderId="0" xfId="0" applyNumberFormat="1" applyFill="1"/>
    <xf numFmtId="174" fontId="0" fillId="12" borderId="0" xfId="0" applyNumberFormat="1" applyFill="1"/>
    <xf numFmtId="10" fontId="0" fillId="12" borderId="0" xfId="6" applyNumberFormat="1" applyFont="1" applyFill="1"/>
    <xf numFmtId="43" fontId="0" fillId="0" borderId="0" xfId="0" applyNumberFormat="1"/>
    <xf numFmtId="43" fontId="0" fillId="0" borderId="0" xfId="0" applyNumberFormat="1" applyAlignment="1">
      <alignment horizontal="center"/>
    </xf>
    <xf numFmtId="17" fontId="16" fillId="9" borderId="0" xfId="0" applyNumberFormat="1" applyFont="1" applyFill="1" applyAlignment="1">
      <alignment horizontal="right" vertical="center" wrapText="1"/>
    </xf>
    <xf numFmtId="0" fontId="17" fillId="10" borderId="1" xfId="0" applyFont="1" applyFill="1" applyBorder="1" applyAlignment="1">
      <alignment horizontal="left" vertical="center" indent="1"/>
    </xf>
    <xf numFmtId="3" fontId="17" fillId="10" borderId="1" xfId="0" applyNumberFormat="1" applyFont="1" applyFill="1" applyBorder="1" applyAlignment="1">
      <alignment horizontal="right" vertical="center" wrapText="1"/>
    </xf>
    <xf numFmtId="0" fontId="17" fillId="10" borderId="1" xfId="0" applyFont="1" applyFill="1" applyBorder="1" applyAlignment="1">
      <alignment horizontal="left" vertical="center"/>
    </xf>
    <xf numFmtId="0" fontId="17" fillId="10" borderId="0" xfId="0" applyFont="1" applyFill="1" applyAlignment="1">
      <alignment horizontal="left" vertical="center"/>
    </xf>
    <xf numFmtId="0" fontId="17" fillId="10" borderId="0" xfId="0" applyFont="1" applyFill="1" applyAlignment="1">
      <alignment horizontal="right" vertical="center" wrapText="1"/>
    </xf>
    <xf numFmtId="3" fontId="17" fillId="10" borderId="0" xfId="0" applyNumberFormat="1" applyFont="1" applyFill="1" applyAlignment="1">
      <alignment horizontal="right" vertical="center" wrapText="1"/>
    </xf>
    <xf numFmtId="0" fontId="17" fillId="10" borderId="1" xfId="0" applyFont="1" applyFill="1" applyBorder="1" applyAlignment="1">
      <alignment horizontal="right" vertical="center" wrapText="1"/>
    </xf>
    <xf numFmtId="0" fontId="17" fillId="9" borderId="1" xfId="0" applyFont="1" applyFill="1" applyBorder="1" applyAlignment="1">
      <alignment horizontal="left" vertical="center" indent="1"/>
    </xf>
    <xf numFmtId="0" fontId="17" fillId="9" borderId="1" xfId="0" applyFont="1" applyFill="1" applyBorder="1" applyAlignment="1">
      <alignment horizontal="right" vertical="center" wrapText="1"/>
    </xf>
    <xf numFmtId="3" fontId="17" fillId="9" borderId="1" xfId="0" applyNumberFormat="1" applyFont="1" applyFill="1" applyBorder="1" applyAlignment="1">
      <alignment horizontal="right" vertical="center" wrapText="1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right" vertical="center" wrapText="1"/>
    </xf>
    <xf numFmtId="3" fontId="17" fillId="9" borderId="0" xfId="0" applyNumberFormat="1" applyFont="1" applyFill="1" applyAlignment="1">
      <alignment horizontal="right" vertical="center" wrapText="1"/>
    </xf>
    <xf numFmtId="0" fontId="0" fillId="13" borderId="0" xfId="0" applyFill="1"/>
    <xf numFmtId="0" fontId="19" fillId="13" borderId="0" xfId="0" applyFont="1" applyFill="1"/>
    <xf numFmtId="10" fontId="1" fillId="0" borderId="0" xfId="6" applyNumberFormat="1" applyFont="1"/>
    <xf numFmtId="10" fontId="3" fillId="0" borderId="0" xfId="6" applyNumberFormat="1" applyFont="1"/>
    <xf numFmtId="17" fontId="0" fillId="0" borderId="0" xfId="0" applyNumberFormat="1"/>
    <xf numFmtId="43" fontId="1" fillId="0" borderId="0" xfId="0" applyNumberFormat="1" applyFont="1"/>
    <xf numFmtId="0" fontId="1" fillId="0" borderId="5" xfId="0" applyFont="1" applyBorder="1"/>
    <xf numFmtId="17" fontId="1" fillId="0" borderId="5" xfId="0" applyNumberFormat="1" applyFont="1" applyBorder="1"/>
    <xf numFmtId="0" fontId="19" fillId="0" borderId="0" xfId="0" applyFont="1"/>
    <xf numFmtId="10" fontId="20" fillId="0" borderId="0" xfId="6" applyNumberFormat="1" applyFont="1"/>
    <xf numFmtId="4" fontId="0" fillId="0" borderId="0" xfId="0" applyNumberFormat="1"/>
    <xf numFmtId="0" fontId="20" fillId="0" borderId="0" xfId="0" applyFont="1"/>
    <xf numFmtId="4" fontId="0" fillId="0" borderId="5" xfId="0" applyNumberFormat="1" applyBorder="1"/>
    <xf numFmtId="10" fontId="0" fillId="0" borderId="5" xfId="0" applyNumberFormat="1" applyBorder="1"/>
    <xf numFmtId="175" fontId="0" fillId="0" borderId="0" xfId="0" applyNumberFormat="1"/>
    <xf numFmtId="9" fontId="0" fillId="0" borderId="4" xfId="6" applyFont="1" applyBorder="1"/>
    <xf numFmtId="10" fontId="0" fillId="14" borderId="0" xfId="6" applyNumberFormat="1" applyFont="1" applyFill="1"/>
    <xf numFmtId="0" fontId="1" fillId="0" borderId="5" xfId="0" applyFont="1" applyBorder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5" fillId="13" borderId="0" xfId="0" applyFont="1" applyFill="1" applyAlignment="1">
      <alignment horizontal="center"/>
    </xf>
    <xf numFmtId="176" fontId="0" fillId="0" borderId="0" xfId="0" applyNumberFormat="1" applyAlignment="1">
      <alignment horizontal="right"/>
    </xf>
    <xf numFmtId="10" fontId="0" fillId="0" borderId="0" xfId="6" applyNumberFormat="1" applyFont="1" applyAlignment="1">
      <alignment horizontal="right"/>
    </xf>
    <xf numFmtId="0" fontId="0" fillId="0" borderId="10" xfId="0" applyBorder="1"/>
    <xf numFmtId="0" fontId="22" fillId="0" borderId="11" xfId="0" applyFont="1" applyBorder="1" applyAlignment="1">
      <alignment horizontal="center"/>
    </xf>
    <xf numFmtId="0" fontId="22" fillId="0" borderId="11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2" fontId="0" fillId="0" borderId="0" xfId="0" applyNumberFormat="1"/>
    <xf numFmtId="2" fontId="0" fillId="14" borderId="0" xfId="0" applyNumberFormat="1" applyFill="1"/>
    <xf numFmtId="10" fontId="0" fillId="0" borderId="4" xfId="0" applyNumberFormat="1" applyBorder="1"/>
    <xf numFmtId="2" fontId="0" fillId="0" borderId="4" xfId="0" applyNumberFormat="1" applyBorder="1"/>
    <xf numFmtId="2" fontId="0" fillId="0" borderId="5" xfId="0" applyNumberFormat="1" applyBorder="1"/>
    <xf numFmtId="10" fontId="0" fillId="14" borderId="0" xfId="0" applyNumberFormat="1" applyFill="1"/>
    <xf numFmtId="0" fontId="0" fillId="15" borderId="0" xfId="0" applyFill="1"/>
    <xf numFmtId="175" fontId="0" fillId="0" borderId="5" xfId="0" applyNumberFormat="1" applyBorder="1"/>
    <xf numFmtId="0" fontId="1" fillId="0" borderId="3" xfId="0" applyFont="1" applyBorder="1"/>
    <xf numFmtId="4" fontId="20" fillId="0" borderId="0" xfId="0" applyNumberFormat="1" applyFont="1"/>
    <xf numFmtId="10" fontId="20" fillId="0" borderId="0" xfId="0" applyNumberFormat="1" applyFont="1"/>
    <xf numFmtId="0" fontId="5" fillId="13" borderId="0" xfId="0" applyFont="1" applyFill="1"/>
    <xf numFmtId="0" fontId="2" fillId="13" borderId="0" xfId="0" applyFont="1" applyFill="1"/>
    <xf numFmtId="17" fontId="5" fillId="13" borderId="0" xfId="0" applyNumberFormat="1" applyFont="1" applyFill="1"/>
    <xf numFmtId="17" fontId="24" fillId="9" borderId="0" xfId="0" applyNumberFormat="1" applyFont="1" applyFill="1" applyAlignment="1">
      <alignment horizontal="right" vertical="center" wrapText="1"/>
    </xf>
    <xf numFmtId="0" fontId="17" fillId="10" borderId="0" xfId="0" applyFont="1" applyFill="1" applyAlignment="1">
      <alignment horizontal="left" vertical="center" indent="1"/>
    </xf>
    <xf numFmtId="0" fontId="17" fillId="9" borderId="0" xfId="0" applyFont="1" applyFill="1" applyAlignment="1">
      <alignment horizontal="left" vertical="center" indent="1"/>
    </xf>
    <xf numFmtId="0" fontId="25" fillId="10" borderId="1" xfId="0" applyFont="1" applyFill="1" applyBorder="1" applyAlignment="1">
      <alignment horizontal="left" vertical="center" indent="1"/>
    </xf>
    <xf numFmtId="0" fontId="25" fillId="10" borderId="1" xfId="0" applyFont="1" applyFill="1" applyBorder="1" applyAlignment="1">
      <alignment horizontal="right" vertical="center" wrapText="1"/>
    </xf>
    <xf numFmtId="3" fontId="25" fillId="10" borderId="1" xfId="0" applyNumberFormat="1" applyFont="1" applyFill="1" applyBorder="1" applyAlignment="1">
      <alignment horizontal="right" vertical="center" wrapText="1"/>
    </xf>
    <xf numFmtId="0" fontId="25" fillId="9" borderId="1" xfId="0" applyFont="1" applyFill="1" applyBorder="1" applyAlignment="1">
      <alignment horizontal="left" vertical="center" indent="1"/>
    </xf>
    <xf numFmtId="3" fontId="25" fillId="9" borderId="1" xfId="0" applyNumberFormat="1" applyFont="1" applyFill="1" applyBorder="1" applyAlignment="1">
      <alignment horizontal="right" vertical="center" wrapText="1"/>
    </xf>
    <xf numFmtId="0" fontId="25" fillId="9" borderId="1" xfId="0" applyFont="1" applyFill="1" applyBorder="1" applyAlignment="1">
      <alignment horizontal="left" vertical="center"/>
    </xf>
    <xf numFmtId="0" fontId="25" fillId="9" borderId="1" xfId="0" applyFont="1" applyFill="1" applyBorder="1" applyAlignment="1">
      <alignment horizontal="right" vertical="center" wrapText="1"/>
    </xf>
    <xf numFmtId="0" fontId="0" fillId="0" borderId="3" xfId="0" applyBorder="1"/>
    <xf numFmtId="17" fontId="2" fillId="13" borderId="0" xfId="0" applyNumberFormat="1" applyFont="1" applyFill="1"/>
    <xf numFmtId="176" fontId="2" fillId="13" borderId="0" xfId="0" applyNumberFormat="1" applyFont="1" applyFill="1"/>
    <xf numFmtId="176" fontId="0" fillId="0" borderId="0" xfId="0" applyNumberFormat="1"/>
    <xf numFmtId="176" fontId="0" fillId="0" borderId="3" xfId="0" applyNumberFormat="1" applyBorder="1"/>
    <xf numFmtId="176" fontId="0" fillId="0" borderId="4" xfId="0" applyNumberFormat="1" applyBorder="1"/>
    <xf numFmtId="176" fontId="1" fillId="0" borderId="12" xfId="0" applyNumberFormat="1" applyFont="1" applyBorder="1"/>
    <xf numFmtId="176" fontId="0" fillId="0" borderId="12" xfId="0" applyNumberFormat="1" applyBorder="1"/>
    <xf numFmtId="176" fontId="0" fillId="0" borderId="5" xfId="0" applyNumberFormat="1" applyBorder="1"/>
    <xf numFmtId="176" fontId="1" fillId="0" borderId="0" xfId="0" applyNumberFormat="1" applyFont="1"/>
    <xf numFmtId="0" fontId="2" fillId="0" borderId="0" xfId="0" applyFont="1"/>
    <xf numFmtId="176" fontId="1" fillId="0" borderId="5" xfId="0" applyNumberFormat="1" applyFont="1" applyBorder="1"/>
    <xf numFmtId="176" fontId="5" fillId="13" borderId="0" xfId="0" applyNumberFormat="1" applyFont="1" applyFill="1"/>
    <xf numFmtId="176" fontId="1" fillId="0" borderId="3" xfId="0" applyNumberFormat="1" applyFont="1" applyBorder="1"/>
    <xf numFmtId="176" fontId="1" fillId="0" borderId="10" xfId="0" applyNumberFormat="1" applyFont="1" applyBorder="1"/>
    <xf numFmtId="176" fontId="0" fillId="0" borderId="3" xfId="6" applyNumberFormat="1" applyFont="1" applyBorder="1"/>
    <xf numFmtId="9" fontId="1" fillId="0" borderId="3" xfId="6" applyFont="1" applyBorder="1"/>
    <xf numFmtId="178" fontId="2" fillId="13" borderId="0" xfId="0" applyNumberFormat="1" applyFont="1" applyFill="1"/>
    <xf numFmtId="179" fontId="2" fillId="13" borderId="0" xfId="0" applyNumberFormat="1" applyFont="1" applyFill="1"/>
    <xf numFmtId="179" fontId="2" fillId="0" borderId="0" xfId="0" applyNumberFormat="1" applyFont="1"/>
    <xf numFmtId="9" fontId="0" fillId="0" borderId="0" xfId="0" applyNumberFormat="1"/>
    <xf numFmtId="0" fontId="0" fillId="0" borderId="13" xfId="0" applyBorder="1"/>
    <xf numFmtId="0" fontId="0" fillId="14" borderId="0" xfId="0" applyFill="1"/>
    <xf numFmtId="9" fontId="0" fillId="14" borderId="0" xfId="0" applyNumberFormat="1" applyFill="1"/>
    <xf numFmtId="10" fontId="1" fillId="0" borderId="12" xfId="6" applyNumberFormat="1" applyFont="1" applyBorder="1"/>
    <xf numFmtId="0" fontId="1" fillId="0" borderId="13" xfId="0" applyFont="1" applyBorder="1"/>
    <xf numFmtId="0" fontId="0" fillId="16" borderId="3" xfId="0" applyFill="1" applyBorder="1"/>
    <xf numFmtId="9" fontId="0" fillId="16" borderId="3" xfId="0" applyNumberFormat="1" applyFill="1" applyBorder="1"/>
    <xf numFmtId="0" fontId="0" fillId="16" borderId="0" xfId="0" applyFill="1"/>
    <xf numFmtId="0" fontId="0" fillId="16" borderId="13" xfId="0" applyFill="1" applyBorder="1"/>
    <xf numFmtId="180" fontId="0" fillId="16" borderId="3" xfId="0" applyNumberFormat="1" applyFill="1" applyBorder="1"/>
    <xf numFmtId="180" fontId="0" fillId="0" borderId="3" xfId="0" applyNumberFormat="1" applyBorder="1"/>
    <xf numFmtId="10" fontId="20" fillId="16" borderId="3" xfId="6" applyNumberFormat="1" applyFont="1" applyFill="1" applyBorder="1"/>
    <xf numFmtId="10" fontId="20" fillId="0" borderId="3" xfId="6" applyNumberFormat="1" applyFont="1" applyBorder="1"/>
    <xf numFmtId="0" fontId="20" fillId="0" borderId="3" xfId="0" applyFont="1" applyBorder="1"/>
    <xf numFmtId="0" fontId="1" fillId="14" borderId="0" xfId="0" applyFont="1" applyFill="1"/>
    <xf numFmtId="10" fontId="0" fillId="0" borderId="3" xfId="0" applyNumberFormat="1" applyBorder="1"/>
    <xf numFmtId="10" fontId="20" fillId="0" borderId="3" xfId="0" applyNumberFormat="1" applyFont="1" applyBorder="1"/>
    <xf numFmtId="177" fontId="0" fillId="0" borderId="3" xfId="0" applyNumberFormat="1" applyBorder="1"/>
    <xf numFmtId="2" fontId="1" fillId="0" borderId="13" xfId="0" applyNumberFormat="1" applyFont="1" applyBorder="1"/>
    <xf numFmtId="180" fontId="1" fillId="16" borderId="3" xfId="0" applyNumberFormat="1" applyFont="1" applyFill="1" applyBorder="1"/>
    <xf numFmtId="10" fontId="20" fillId="14" borderId="0" xfId="6" applyNumberFormat="1" applyFont="1" applyFill="1"/>
    <xf numFmtId="180" fontId="0" fillId="0" borderId="0" xfId="0" applyNumberFormat="1"/>
    <xf numFmtId="2" fontId="1" fillId="0" borderId="0" xfId="0" applyNumberFormat="1" applyFont="1"/>
    <xf numFmtId="43" fontId="1" fillId="0" borderId="13" xfId="0" applyNumberFormat="1" applyFont="1" applyBorder="1"/>
    <xf numFmtId="3" fontId="26" fillId="0" borderId="0" xfId="0" applyNumberFormat="1" applyFont="1"/>
    <xf numFmtId="181" fontId="1" fillId="0" borderId="0" xfId="0" applyNumberFormat="1" applyFont="1"/>
    <xf numFmtId="9" fontId="0" fillId="0" borderId="0" xfId="6" applyFont="1"/>
    <xf numFmtId="2" fontId="27" fillId="0" borderId="0" xfId="0" applyNumberFormat="1" applyFont="1"/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0" fontId="19" fillId="13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176" fontId="2" fillId="13" borderId="0" xfId="0" applyNumberFormat="1" applyFont="1" applyFill="1" applyAlignment="1">
      <alignment horizontal="center"/>
    </xf>
    <xf numFmtId="0" fontId="1" fillId="0" borderId="3" xfId="0" applyNumberFormat="1" applyFont="1" applyBorder="1"/>
    <xf numFmtId="0" fontId="0" fillId="0" borderId="3" xfId="0" applyNumberFormat="1" applyBorder="1"/>
    <xf numFmtId="168" fontId="1" fillId="0" borderId="3" xfId="0" applyNumberFormat="1" applyFont="1" applyBorder="1"/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FFFF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chi\Downloads\Hind.%20Unilever.xlsx" TargetMode="External"/><Relationship Id="rId1" Type="http://schemas.openxmlformats.org/officeDocument/2006/relationships/externalLinkPath" Target="/Users/Prachi/Downloads/Hind.%20Unilev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Financials"/>
      <sheetName val="Historical FS"/>
      <sheetName val="Ratio Analysis"/>
      <sheetName val="Cash flow "/>
      <sheetName val="Data Sheet"/>
      <sheetName val="data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>
            <v>6025</v>
          </cell>
          <cell r="D4">
            <v>6512</v>
          </cell>
          <cell r="E4">
            <v>7485</v>
          </cell>
          <cell r="F4">
            <v>8909</v>
          </cell>
          <cell r="G4">
            <v>9723</v>
          </cell>
          <cell r="H4">
            <v>11672</v>
          </cell>
          <cell r="I4">
            <v>12829</v>
          </cell>
          <cell r="J4">
            <v>14089</v>
          </cell>
          <cell r="K4">
            <v>14537</v>
          </cell>
          <cell r="L4">
            <v>14942</v>
          </cell>
        </row>
        <row r="5">
          <cell r="C5">
            <v>-257</v>
          </cell>
          <cell r="D5">
            <v>173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C6">
            <v>89</v>
          </cell>
          <cell r="D6">
            <v>37</v>
          </cell>
          <cell r="E6">
            <v>-146</v>
          </cell>
          <cell r="F6">
            <v>-195</v>
          </cell>
          <cell r="G6">
            <v>-331</v>
          </cell>
          <cell r="H6">
            <v>-543</v>
          </cell>
          <cell r="I6">
            <v>-758</v>
          </cell>
          <cell r="J6">
            <v>-339</v>
          </cell>
          <cell r="K6">
            <v>74</v>
          </cell>
          <cell r="L6">
            <v>-584</v>
          </cell>
        </row>
        <row r="7">
          <cell r="C7">
            <v>164</v>
          </cell>
          <cell r="D7">
            <v>501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C9">
            <v>-77</v>
          </cell>
          <cell r="D9">
            <v>-99</v>
          </cell>
          <cell r="E9">
            <v>982</v>
          </cell>
          <cell r="F9">
            <v>-147</v>
          </cell>
          <cell r="G9">
            <v>742</v>
          </cell>
          <cell r="H9">
            <v>442</v>
          </cell>
          <cell r="I9">
            <v>-242</v>
          </cell>
          <cell r="J9">
            <v>-621</v>
          </cell>
          <cell r="K9">
            <v>1239</v>
          </cell>
          <cell r="L9">
            <v>-204</v>
          </cell>
        </row>
        <row r="10">
          <cell r="C10">
            <v>-81</v>
          </cell>
          <cell r="D10">
            <v>566</v>
          </cell>
          <cell r="E10">
            <v>836</v>
          </cell>
          <cell r="F10">
            <v>-342</v>
          </cell>
          <cell r="G10">
            <v>411</v>
          </cell>
          <cell r="H10">
            <v>-101</v>
          </cell>
          <cell r="I10">
            <v>-1000</v>
          </cell>
          <cell r="J10">
            <v>-960</v>
          </cell>
          <cell r="K10">
            <v>1313</v>
          </cell>
          <cell r="L10">
            <v>-788</v>
          </cell>
        </row>
        <row r="11">
          <cell r="C11">
            <v>-1765</v>
          </cell>
          <cell r="D11">
            <v>-1859</v>
          </cell>
          <cell r="E11">
            <v>-2264</v>
          </cell>
          <cell r="F11">
            <v>-2767</v>
          </cell>
          <cell r="G11">
            <v>-2505</v>
          </cell>
          <cell r="H11">
            <v>-2407</v>
          </cell>
          <cell r="I11">
            <v>-2784</v>
          </cell>
          <cell r="J11">
            <v>-3138</v>
          </cell>
          <cell r="K11">
            <v>-381</v>
          </cell>
          <cell r="L11">
            <v>-2268</v>
          </cell>
        </row>
        <row r="12">
          <cell r="C12">
            <v>-8</v>
          </cell>
          <cell r="D12">
            <v>-21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C13">
            <v>0</v>
          </cell>
          <cell r="D13">
            <v>-13</v>
          </cell>
          <cell r="E13">
            <v>2</v>
          </cell>
          <cell r="F13">
            <v>0</v>
          </cell>
          <cell r="G13">
            <v>-6</v>
          </cell>
          <cell r="H13">
            <v>-1</v>
          </cell>
          <cell r="I13">
            <v>3</v>
          </cell>
          <cell r="J13">
            <v>0</v>
          </cell>
          <cell r="K13">
            <v>0</v>
          </cell>
          <cell r="L13">
            <v>0</v>
          </cell>
        </row>
        <row r="15">
          <cell r="C15">
            <v>-810</v>
          </cell>
          <cell r="D15">
            <v>-1113</v>
          </cell>
          <cell r="E15">
            <v>-895</v>
          </cell>
          <cell r="F15">
            <v>-767</v>
          </cell>
          <cell r="G15">
            <v>-862</v>
          </cell>
          <cell r="H15">
            <v>-4163</v>
          </cell>
          <cell r="I15">
            <v>-1228</v>
          </cell>
          <cell r="J15">
            <v>-1192</v>
          </cell>
          <cell r="K15">
            <v>-1477</v>
          </cell>
          <cell r="L15">
            <v>-1275</v>
          </cell>
        </row>
        <row r="16">
          <cell r="C16">
            <v>99</v>
          </cell>
          <cell r="D16">
            <v>176</v>
          </cell>
          <cell r="E16">
            <v>32</v>
          </cell>
          <cell r="F16">
            <v>13</v>
          </cell>
          <cell r="G16">
            <v>52</v>
          </cell>
          <cell r="H16">
            <v>97</v>
          </cell>
          <cell r="I16">
            <v>175</v>
          </cell>
          <cell r="J16">
            <v>181</v>
          </cell>
          <cell r="K16">
            <v>20</v>
          </cell>
          <cell r="L16">
            <v>13</v>
          </cell>
        </row>
        <row r="17">
          <cell r="C17">
            <v>-20666</v>
          </cell>
          <cell r="D17">
            <v>-31214</v>
          </cell>
          <cell r="E17">
            <v>-51855</v>
          </cell>
          <cell r="F17">
            <v>-74365</v>
          </cell>
          <cell r="G17">
            <v>-36090</v>
          </cell>
          <cell r="H17">
            <v>-39920</v>
          </cell>
          <cell r="I17">
            <v>-48522</v>
          </cell>
          <cell r="J17">
            <v>-22649</v>
          </cell>
          <cell r="K17">
            <v>-21337</v>
          </cell>
          <cell r="L17">
            <v>-22957</v>
          </cell>
        </row>
        <row r="18">
          <cell r="C18">
            <v>20937</v>
          </cell>
          <cell r="D18">
            <v>30083</v>
          </cell>
          <cell r="E18">
            <v>52897</v>
          </cell>
          <cell r="F18">
            <v>74691</v>
          </cell>
          <cell r="G18">
            <v>37690</v>
          </cell>
          <cell r="H18">
            <v>38486</v>
          </cell>
          <cell r="I18">
            <v>47786</v>
          </cell>
          <cell r="J18">
            <v>23462</v>
          </cell>
          <cell r="K18">
            <v>19846</v>
          </cell>
          <cell r="L18">
            <v>23987</v>
          </cell>
        </row>
        <row r="19">
          <cell r="C19">
            <v>315</v>
          </cell>
          <cell r="D19">
            <v>264</v>
          </cell>
          <cell r="E19">
            <v>297</v>
          </cell>
          <cell r="F19">
            <v>289</v>
          </cell>
          <cell r="G19">
            <v>351</v>
          </cell>
          <cell r="H19">
            <v>277</v>
          </cell>
          <cell r="I19">
            <v>161</v>
          </cell>
          <cell r="J19">
            <v>259</v>
          </cell>
          <cell r="K19">
            <v>425</v>
          </cell>
          <cell r="L19">
            <v>835</v>
          </cell>
        </row>
        <row r="20">
          <cell r="C20">
            <v>33</v>
          </cell>
          <cell r="D20">
            <v>14</v>
          </cell>
          <cell r="E20">
            <v>0</v>
          </cell>
          <cell r="F20">
            <v>1</v>
          </cell>
          <cell r="G20">
            <v>1</v>
          </cell>
          <cell r="H20">
            <v>1</v>
          </cell>
          <cell r="I20">
            <v>1</v>
          </cell>
          <cell r="J20">
            <v>2</v>
          </cell>
          <cell r="K20">
            <v>3</v>
          </cell>
          <cell r="L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</row>
        <row r="23">
          <cell r="C23">
            <v>161</v>
          </cell>
          <cell r="D23">
            <v>20</v>
          </cell>
          <cell r="E23">
            <v>73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-334</v>
          </cell>
          <cell r="K24">
            <v>0</v>
          </cell>
          <cell r="L24">
            <v>0</v>
          </cell>
        </row>
        <row r="25">
          <cell r="C25">
            <v>-351</v>
          </cell>
          <cell r="D25">
            <v>597</v>
          </cell>
          <cell r="E25">
            <v>-1612</v>
          </cell>
          <cell r="F25">
            <v>-300</v>
          </cell>
          <cell r="G25">
            <v>649</v>
          </cell>
          <cell r="H25">
            <v>3994</v>
          </cell>
          <cell r="I25">
            <v>-101</v>
          </cell>
          <cell r="J25">
            <v>-1213</v>
          </cell>
          <cell r="K25">
            <v>-2804</v>
          </cell>
          <cell r="L25">
            <v>5870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</row>
        <row r="28">
          <cell r="C28">
            <v>177</v>
          </cell>
          <cell r="D28">
            <v>460</v>
          </cell>
          <cell r="E28">
            <v>0</v>
          </cell>
          <cell r="F28">
            <v>99</v>
          </cell>
          <cell r="G28">
            <v>0</v>
          </cell>
          <cell r="H28">
            <v>188</v>
          </cell>
          <cell r="I28">
            <v>55</v>
          </cell>
          <cell r="J28">
            <v>286</v>
          </cell>
          <cell r="K28">
            <v>0</v>
          </cell>
          <cell r="L28">
            <v>0</v>
          </cell>
        </row>
        <row r="29">
          <cell r="C29">
            <v>0</v>
          </cell>
          <cell r="D29">
            <v>-360</v>
          </cell>
          <cell r="E29">
            <v>-277</v>
          </cell>
          <cell r="F29">
            <v>0</v>
          </cell>
          <cell r="G29">
            <v>-99</v>
          </cell>
          <cell r="H29">
            <v>-188</v>
          </cell>
          <cell r="I29">
            <v>-55</v>
          </cell>
          <cell r="J29">
            <v>-208</v>
          </cell>
          <cell r="K29">
            <v>-85</v>
          </cell>
          <cell r="L29">
            <v>0</v>
          </cell>
        </row>
        <row r="30">
          <cell r="C30">
            <v>-2</v>
          </cell>
          <cell r="D30">
            <v>-14</v>
          </cell>
          <cell r="E30">
            <v>-6</v>
          </cell>
          <cell r="F30">
            <v>-7</v>
          </cell>
          <cell r="G30">
            <v>-90</v>
          </cell>
          <cell r="H30">
            <v>-92</v>
          </cell>
          <cell r="I30">
            <v>-82</v>
          </cell>
          <cell r="J30">
            <v>-88</v>
          </cell>
          <cell r="K30">
            <v>-110</v>
          </cell>
          <cell r="L30">
            <v>-130</v>
          </cell>
        </row>
        <row r="31">
          <cell r="C31">
            <v>-3354</v>
          </cell>
          <cell r="D31">
            <v>-3572</v>
          </cell>
          <cell r="E31">
            <v>-3911</v>
          </cell>
          <cell r="F31">
            <v>-4554</v>
          </cell>
          <cell r="G31">
            <v>-5196</v>
          </cell>
          <cell r="H31">
            <v>-8811</v>
          </cell>
          <cell r="I31">
            <v>-7526</v>
          </cell>
          <cell r="J31">
            <v>-8474</v>
          </cell>
          <cell r="K31">
            <v>-9416</v>
          </cell>
          <cell r="L31">
            <v>-12473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-373</v>
          </cell>
          <cell r="H32">
            <v>-406</v>
          </cell>
          <cell r="I32">
            <v>-407</v>
          </cell>
          <cell r="J32">
            <v>-467</v>
          </cell>
          <cell r="K32">
            <v>-423</v>
          </cell>
          <cell r="L32">
            <v>-996</v>
          </cell>
        </row>
        <row r="33">
          <cell r="C33">
            <v>-685</v>
          </cell>
          <cell r="D33">
            <v>-728</v>
          </cell>
          <cell r="E33">
            <v>-781</v>
          </cell>
          <cell r="F33">
            <v>-928</v>
          </cell>
          <cell r="G33">
            <v>-1061</v>
          </cell>
          <cell r="H33">
            <v>0</v>
          </cell>
          <cell r="I33">
            <v>0</v>
          </cell>
          <cell r="J33">
            <v>-2</v>
          </cell>
          <cell r="K33">
            <v>0</v>
          </cell>
          <cell r="L33">
            <v>498</v>
          </cell>
        </row>
      </sheetData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TATAMOTOR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81640625" defaultRowHeight="14.5" x14ac:dyDescent="0.35"/>
  <cols>
    <col min="1" max="1" width="20.6328125" customWidth="1"/>
    <col min="2" max="6" width="13.453125" customWidth="1"/>
    <col min="7" max="7" width="14.81640625" bestFit="1" customWidth="1"/>
    <col min="8" max="11" width="13.453125" customWidth="1"/>
    <col min="12" max="12" width="13.36328125" customWidth="1"/>
    <col min="13" max="14" width="12.1796875" customWidth="1"/>
  </cols>
  <sheetData>
    <row r="1" spans="1:14" s="2" customFormat="1" x14ac:dyDescent="0.35">
      <c r="A1" s="2" t="str">
        <f>'Data Sheet'!B1</f>
        <v>HINDUSTAN UNILEVER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32186</v>
      </c>
      <c r="C4" s="1">
        <f>'Data Sheet'!C17</f>
        <v>33162</v>
      </c>
      <c r="D4" s="1">
        <f>'Data Sheet'!D17</f>
        <v>35545</v>
      </c>
      <c r="E4" s="1">
        <f>'Data Sheet'!E17</f>
        <v>39310</v>
      </c>
      <c r="F4" s="1">
        <f>'Data Sheet'!F17</f>
        <v>39783</v>
      </c>
      <c r="G4" s="1">
        <f>'Data Sheet'!G17</f>
        <v>47028</v>
      </c>
      <c r="H4" s="1">
        <f>'Data Sheet'!H17</f>
        <v>52446</v>
      </c>
      <c r="I4" s="1">
        <f>'Data Sheet'!I17</f>
        <v>60580</v>
      </c>
      <c r="J4" s="1">
        <f>'Data Sheet'!J17</f>
        <v>61896</v>
      </c>
      <c r="K4" s="1">
        <f>'Data Sheet'!K17</f>
        <v>63121</v>
      </c>
      <c r="L4" s="1">
        <f>SUM(Quarters!H4:K4)</f>
        <v>63121</v>
      </c>
      <c r="M4" s="1">
        <f>$K4+M23*K4</f>
        <v>67142.014980470805</v>
      </c>
      <c r="N4" s="1">
        <f>$K4+N23*L4</f>
        <v>64370.244296885096</v>
      </c>
    </row>
    <row r="5" spans="1:14" x14ac:dyDescent="0.35">
      <c r="A5" t="s">
        <v>7</v>
      </c>
      <c r="B5" s="6">
        <f>SUM('Data Sheet'!B18,'Data Sheet'!B20:B24, -1*'Data Sheet'!B19)</f>
        <v>26276</v>
      </c>
      <c r="C5" s="6">
        <f>SUM('Data Sheet'!C18,'Data Sheet'!C20:C24, -1*'Data Sheet'!C19)</f>
        <v>26834</v>
      </c>
      <c r="D5" s="6">
        <f>SUM('Data Sheet'!D18,'Data Sheet'!D20:D24, -1*'Data Sheet'!D19)</f>
        <v>28046</v>
      </c>
      <c r="E5" s="6">
        <f>SUM('Data Sheet'!E18,'Data Sheet'!E20:E24, -1*'Data Sheet'!E19)</f>
        <v>30430</v>
      </c>
      <c r="F5" s="6">
        <f>SUM('Data Sheet'!F18,'Data Sheet'!F20:F24, -1*'Data Sheet'!F19)</f>
        <v>29922</v>
      </c>
      <c r="G5" s="6">
        <f>SUM('Data Sheet'!G18,'Data Sheet'!G20:G24, -1*'Data Sheet'!G19)</f>
        <v>35402</v>
      </c>
      <c r="H5" s="6">
        <f>SUM('Data Sheet'!H18,'Data Sheet'!H20:H24, -1*'Data Sheet'!H19)</f>
        <v>39589</v>
      </c>
      <c r="I5" s="6">
        <f>SUM('Data Sheet'!I18,'Data Sheet'!I20:I24, -1*'Data Sheet'!I19)</f>
        <v>46433</v>
      </c>
      <c r="J5" s="6">
        <f>SUM('Data Sheet'!J18,'Data Sheet'!J20:J24, -1*'Data Sheet'!J19)</f>
        <v>47237</v>
      </c>
      <c r="K5" s="6">
        <f>SUM('Data Sheet'!K18,'Data Sheet'!K20:K24, -1*'Data Sheet'!K19)</f>
        <v>48278</v>
      </c>
      <c r="L5" s="6">
        <f>SUM(Quarters!H5:K5)</f>
        <v>48279</v>
      </c>
      <c r="M5" s="6">
        <f t="shared" ref="M5:N5" si="0">M4-M6</f>
        <v>51351.448258581062</v>
      </c>
      <c r="N5" s="6">
        <f t="shared" si="0"/>
        <v>49613.963358223984</v>
      </c>
    </row>
    <row r="6" spans="1:14" s="2" customFormat="1" x14ac:dyDescent="0.35">
      <c r="A6" s="2" t="s">
        <v>8</v>
      </c>
      <c r="B6" s="1">
        <f>B4-B5</f>
        <v>5910</v>
      </c>
      <c r="C6" s="1">
        <f t="shared" ref="C6:K6" si="1">C4-C5</f>
        <v>6328</v>
      </c>
      <c r="D6" s="1">
        <f t="shared" si="1"/>
        <v>7499</v>
      </c>
      <c r="E6" s="1">
        <f t="shared" si="1"/>
        <v>8880</v>
      </c>
      <c r="F6" s="1">
        <f t="shared" si="1"/>
        <v>9861</v>
      </c>
      <c r="G6" s="1">
        <f t="shared" si="1"/>
        <v>11626</v>
      </c>
      <c r="H6" s="1">
        <f t="shared" si="1"/>
        <v>12857</v>
      </c>
      <c r="I6" s="1">
        <f t="shared" si="1"/>
        <v>14147</v>
      </c>
      <c r="J6" s="1">
        <f t="shared" si="1"/>
        <v>14659</v>
      </c>
      <c r="K6" s="1">
        <f t="shared" si="1"/>
        <v>14843</v>
      </c>
      <c r="L6" s="1">
        <f>SUM(Quarters!H6:K6)</f>
        <v>14842</v>
      </c>
      <c r="M6" s="1">
        <f>M4*M24</f>
        <v>15790.56672188974</v>
      </c>
      <c r="N6" s="1">
        <f>N4*N24</f>
        <v>14756.28093866111</v>
      </c>
    </row>
    <row r="7" spans="1:14" x14ac:dyDescent="0.35">
      <c r="A7" t="s">
        <v>9</v>
      </c>
      <c r="B7" s="6">
        <f>'Data Sheet'!B25</f>
        <v>486</v>
      </c>
      <c r="C7" s="6">
        <f>'Data Sheet'!C25</f>
        <v>606</v>
      </c>
      <c r="D7" s="6">
        <f>'Data Sheet'!D25</f>
        <v>353</v>
      </c>
      <c r="E7" s="6">
        <f>'Data Sheet'!E25</f>
        <v>322</v>
      </c>
      <c r="F7" s="6">
        <f>'Data Sheet'!F25</f>
        <v>424</v>
      </c>
      <c r="G7" s="6">
        <f>'Data Sheet'!G25</f>
        <v>170</v>
      </c>
      <c r="H7" s="6">
        <f>'Data Sheet'!H25</f>
        <v>219</v>
      </c>
      <c r="I7" s="6">
        <f>'Data Sheet'!I25</f>
        <v>448</v>
      </c>
      <c r="J7" s="6">
        <f>'Data Sheet'!J25</f>
        <v>817</v>
      </c>
      <c r="K7" s="6">
        <f>'Data Sheet'!K25</f>
        <v>1322</v>
      </c>
      <c r="L7" s="6">
        <f>SUM(Quarters!H7:K7)</f>
        <v>1323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353</v>
      </c>
      <c r="C8" s="6">
        <f>'Data Sheet'!C26</f>
        <v>432</v>
      </c>
      <c r="D8" s="6">
        <f>'Data Sheet'!D26</f>
        <v>520</v>
      </c>
      <c r="E8" s="6">
        <f>'Data Sheet'!E26</f>
        <v>565</v>
      </c>
      <c r="F8" s="6">
        <f>'Data Sheet'!F26</f>
        <v>1002</v>
      </c>
      <c r="G8" s="6">
        <f>'Data Sheet'!G26</f>
        <v>1074</v>
      </c>
      <c r="H8" s="6">
        <f>'Data Sheet'!H26</f>
        <v>1091</v>
      </c>
      <c r="I8" s="6">
        <f>'Data Sheet'!I26</f>
        <v>1137</v>
      </c>
      <c r="J8" s="6">
        <f>'Data Sheet'!J26</f>
        <v>1216</v>
      </c>
      <c r="K8" s="6">
        <f>'Data Sheet'!K26</f>
        <v>1355</v>
      </c>
      <c r="L8" s="6">
        <f>SUM(Quarters!H8:K8)</f>
        <v>1355</v>
      </c>
      <c r="M8" s="6">
        <f>+$L8</f>
        <v>1355</v>
      </c>
      <c r="N8" s="6">
        <f>+$L8</f>
        <v>1355</v>
      </c>
    </row>
    <row r="9" spans="1:14" x14ac:dyDescent="0.35">
      <c r="A9" t="s">
        <v>11</v>
      </c>
      <c r="B9" s="6">
        <f>'Data Sheet'!B27</f>
        <v>17</v>
      </c>
      <c r="C9" s="6">
        <f>'Data Sheet'!C27</f>
        <v>35</v>
      </c>
      <c r="D9" s="6">
        <f>'Data Sheet'!D27</f>
        <v>26</v>
      </c>
      <c r="E9" s="6">
        <f>'Data Sheet'!E27</f>
        <v>33</v>
      </c>
      <c r="F9" s="6">
        <f>'Data Sheet'!F27</f>
        <v>118</v>
      </c>
      <c r="G9" s="6">
        <f>'Data Sheet'!G27</f>
        <v>117</v>
      </c>
      <c r="H9" s="6">
        <f>'Data Sheet'!H27</f>
        <v>106</v>
      </c>
      <c r="I9" s="6">
        <f>'Data Sheet'!I27</f>
        <v>114</v>
      </c>
      <c r="J9" s="6">
        <f>'Data Sheet'!J27</f>
        <v>334</v>
      </c>
      <c r="K9" s="6">
        <f>'Data Sheet'!K27</f>
        <v>395</v>
      </c>
      <c r="L9" s="6">
        <f>SUM(Quarters!H9:K9)</f>
        <v>395</v>
      </c>
      <c r="M9" s="6">
        <f>+$L9</f>
        <v>395</v>
      </c>
      <c r="N9" s="6">
        <f>+$L9</f>
        <v>395</v>
      </c>
    </row>
    <row r="10" spans="1:14" x14ac:dyDescent="0.35">
      <c r="A10" t="s">
        <v>12</v>
      </c>
      <c r="B10" s="6">
        <f>'Data Sheet'!B28</f>
        <v>6026</v>
      </c>
      <c r="C10" s="6">
        <f>'Data Sheet'!C28</f>
        <v>6467</v>
      </c>
      <c r="D10" s="6">
        <f>'Data Sheet'!D28</f>
        <v>7306</v>
      </c>
      <c r="E10" s="6">
        <f>'Data Sheet'!E28</f>
        <v>8604</v>
      </c>
      <c r="F10" s="6">
        <f>'Data Sheet'!F28</f>
        <v>9165</v>
      </c>
      <c r="G10" s="6">
        <f>'Data Sheet'!G28</f>
        <v>10605</v>
      </c>
      <c r="H10" s="6">
        <f>'Data Sheet'!H28</f>
        <v>11879</v>
      </c>
      <c r="I10" s="6">
        <f>'Data Sheet'!I28</f>
        <v>13344</v>
      </c>
      <c r="J10" s="6">
        <f>'Data Sheet'!J28</f>
        <v>13926</v>
      </c>
      <c r="K10" s="6">
        <f>'Data Sheet'!K28</f>
        <v>14415</v>
      </c>
      <c r="L10" s="6">
        <f>SUM(Quarters!H10:K10)</f>
        <v>14415</v>
      </c>
      <c r="M10" s="6">
        <f>M6+M7-SUM(M8:M9)</f>
        <v>14040.56672188974</v>
      </c>
      <c r="N10" s="6">
        <f>N6+N7-SUM(N8:N9)</f>
        <v>13006.28093866111</v>
      </c>
    </row>
    <row r="11" spans="1:14" x14ac:dyDescent="0.35">
      <c r="A11" t="s">
        <v>13</v>
      </c>
      <c r="B11" s="6">
        <f>'Data Sheet'!B29</f>
        <v>1875</v>
      </c>
      <c r="C11" s="6">
        <f>'Data Sheet'!C29</f>
        <v>1977</v>
      </c>
      <c r="D11" s="6">
        <f>'Data Sheet'!D29</f>
        <v>2079</v>
      </c>
      <c r="E11" s="6">
        <f>'Data Sheet'!E29</f>
        <v>2544</v>
      </c>
      <c r="F11" s="6">
        <f>'Data Sheet'!F29</f>
        <v>2409</v>
      </c>
      <c r="G11" s="6">
        <f>'Data Sheet'!G29</f>
        <v>2606</v>
      </c>
      <c r="H11" s="6">
        <f>'Data Sheet'!H29</f>
        <v>2987</v>
      </c>
      <c r="I11" s="6">
        <f>'Data Sheet'!I29</f>
        <v>3201</v>
      </c>
      <c r="J11" s="6">
        <f>'Data Sheet'!J29</f>
        <v>3644</v>
      </c>
      <c r="K11" s="6">
        <f>'Data Sheet'!K29</f>
        <v>3744</v>
      </c>
      <c r="L11" s="6">
        <f>SUM(Quarters!H11:K11)</f>
        <v>3744</v>
      </c>
      <c r="M11" s="7">
        <f>IF($L10&gt;0,$L11/$L10,0)</f>
        <v>0.25972944849115503</v>
      </c>
      <c r="N11" s="7">
        <f>IF($L10&gt;0,$L11/$L10,0)</f>
        <v>0.25972944849115503</v>
      </c>
    </row>
    <row r="12" spans="1:14" s="2" customFormat="1" x14ac:dyDescent="0.35">
      <c r="A12" s="2" t="s">
        <v>14</v>
      </c>
      <c r="B12" s="1">
        <f>'Data Sheet'!B30</f>
        <v>4151</v>
      </c>
      <c r="C12" s="1">
        <f>'Data Sheet'!C30</f>
        <v>4476</v>
      </c>
      <c r="D12" s="1">
        <f>'Data Sheet'!D30</f>
        <v>5214</v>
      </c>
      <c r="E12" s="1">
        <f>'Data Sheet'!E30</f>
        <v>6054</v>
      </c>
      <c r="F12" s="1">
        <f>'Data Sheet'!F30</f>
        <v>6748</v>
      </c>
      <c r="G12" s="1">
        <f>'Data Sheet'!G30</f>
        <v>7995</v>
      </c>
      <c r="H12" s="1">
        <f>'Data Sheet'!H30</f>
        <v>8879</v>
      </c>
      <c r="I12" s="1">
        <f>'Data Sheet'!I30</f>
        <v>10120</v>
      </c>
      <c r="J12" s="1">
        <f>'Data Sheet'!J30</f>
        <v>10277</v>
      </c>
      <c r="K12" s="1">
        <f>'Data Sheet'!K30</f>
        <v>10649</v>
      </c>
      <c r="L12" s="1">
        <f>SUM(Quarters!H12:K12)</f>
        <v>10649</v>
      </c>
      <c r="M12" s="1">
        <f>M10-M11*M10</f>
        <v>10393.818070710053</v>
      </c>
      <c r="N12" s="1">
        <f>N10-N11*N10</f>
        <v>9628.1667635416379</v>
      </c>
    </row>
    <row r="13" spans="1:14" x14ac:dyDescent="0.35">
      <c r="A13" t="s">
        <v>57</v>
      </c>
      <c r="B13" s="6">
        <f>IF('Data Sheet'!B93&gt;0,B12/'Data Sheet'!B93,0)</f>
        <v>19.182956698553539</v>
      </c>
      <c r="C13" s="6">
        <f>IF('Data Sheet'!C93&gt;0,C12/'Data Sheet'!C93,0)</f>
        <v>20.681051610220393</v>
      </c>
      <c r="D13" s="6">
        <f>IF('Data Sheet'!D93&gt;0,D12/'Data Sheet'!D93,0)</f>
        <v>24.088704088704091</v>
      </c>
      <c r="E13" s="6">
        <f>IF('Data Sheet'!E93&gt;0,E12/'Data Sheet'!E93,0)</f>
        <v>27.966923823162563</v>
      </c>
      <c r="F13" s="6">
        <f>IF('Data Sheet'!F93&gt;0,F12/'Data Sheet'!F93,0)</f>
        <v>31.171470805617147</v>
      </c>
      <c r="G13" s="6">
        <f>IF('Data Sheet'!G93&gt;0,G12/'Data Sheet'!G93,0)</f>
        <v>34.027068437180795</v>
      </c>
      <c r="H13" s="6">
        <f>IF('Data Sheet'!H93&gt;0,H12/'Data Sheet'!H93,0)</f>
        <v>37.789410963568265</v>
      </c>
      <c r="I13" s="6">
        <f>IF('Data Sheet'!I93&gt;0,I12/'Data Sheet'!I93,0)</f>
        <v>43.071161048689135</v>
      </c>
      <c r="J13" s="6">
        <f>IF('Data Sheet'!J93&gt;0,J12/'Data Sheet'!J93,0)</f>
        <v>43.739359891045282</v>
      </c>
      <c r="K13" s="6">
        <f>IF('Data Sheet'!K93&gt;0,K12/'Data Sheet'!K93,0)</f>
        <v>45.32260810350698</v>
      </c>
      <c r="L13" s="6">
        <f>IF('Data Sheet'!$B6&gt;0,'Profit &amp; Loss'!L12/'Data Sheet'!$B6,0)</f>
        <v>45.322777351555828</v>
      </c>
      <c r="M13" s="6">
        <f>IF('Data Sheet'!$B6&gt;0,'Profit &amp; Loss'!M12/'Data Sheet'!$B6,0)</f>
        <v>44.236707883497914</v>
      </c>
      <c r="N13" s="6">
        <f>IF('Data Sheet'!$B6&gt;0,'Profit &amp; Loss'!N12/'Data Sheet'!$B6,0)</f>
        <v>40.978050382913658</v>
      </c>
    </row>
    <row r="14" spans="1:14" x14ac:dyDescent="0.35">
      <c r="A14" t="s">
        <v>16</v>
      </c>
      <c r="B14" s="6">
        <f>IF(B15&gt;0,B15/B13,"")</f>
        <v>45.326693567814978</v>
      </c>
      <c r="C14" s="6">
        <f t="shared" ref="C14:K14" si="2">IF(C15&gt;0,C15/C13,"")</f>
        <v>44.086249441465597</v>
      </c>
      <c r="D14" s="6">
        <f t="shared" si="2"/>
        <v>55.351670023014954</v>
      </c>
      <c r="E14" s="6">
        <f t="shared" si="2"/>
        <v>61.029236207466134</v>
      </c>
      <c r="F14" s="6">
        <f t="shared" si="2"/>
        <v>73.737296976882035</v>
      </c>
      <c r="G14" s="6">
        <f t="shared" si="2"/>
        <v>71.457816135084428</v>
      </c>
      <c r="H14" s="6">
        <f t="shared" si="2"/>
        <v>54.212276607726103</v>
      </c>
      <c r="I14" s="6">
        <f t="shared" si="2"/>
        <v>59.444647826086957</v>
      </c>
      <c r="J14" s="6">
        <f t="shared" si="2"/>
        <v>51.769161817651067</v>
      </c>
      <c r="K14" s="6">
        <f t="shared" si="2"/>
        <v>49.839364822988074</v>
      </c>
      <c r="L14" s="6">
        <f t="shared" ref="L14" si="3">IF(L13&gt;0,L15/L13,0)</f>
        <v>50.64561648981126</v>
      </c>
      <c r="M14" s="6">
        <f>M25</f>
        <v>52.924697739134338</v>
      </c>
      <c r="N14" s="6">
        <f>N25</f>
        <v>50.64561648981126</v>
      </c>
    </row>
    <row r="15" spans="1:14" s="2" customFormat="1" x14ac:dyDescent="0.35">
      <c r="A15" s="2" t="s">
        <v>58</v>
      </c>
      <c r="B15" s="1">
        <f>'Data Sheet'!B90</f>
        <v>869.5</v>
      </c>
      <c r="C15" s="1">
        <f>'Data Sheet'!C90</f>
        <v>911.75</v>
      </c>
      <c r="D15" s="1">
        <f>'Data Sheet'!D90</f>
        <v>1333.35</v>
      </c>
      <c r="E15" s="1">
        <f>'Data Sheet'!E90</f>
        <v>1706.8</v>
      </c>
      <c r="F15" s="1">
        <f>'Data Sheet'!F90</f>
        <v>2298.5</v>
      </c>
      <c r="G15" s="1">
        <f>'Data Sheet'!G90</f>
        <v>2431.5</v>
      </c>
      <c r="H15" s="1">
        <f>'Data Sheet'!H90</f>
        <v>2048.65</v>
      </c>
      <c r="I15" s="1">
        <f>'Data Sheet'!I90</f>
        <v>2560.35</v>
      </c>
      <c r="J15" s="1">
        <f>'Data Sheet'!J90</f>
        <v>2264.35</v>
      </c>
      <c r="K15" s="1">
        <f>'Data Sheet'!K90</f>
        <v>2258.85</v>
      </c>
      <c r="L15" s="1">
        <f>'Data Sheet'!B8</f>
        <v>2295.4</v>
      </c>
      <c r="M15" s="8">
        <f>M13*M14</f>
        <v>2341.2143937085084</v>
      </c>
      <c r="N15" s="9">
        <f>N13*N14</f>
        <v>2075.3586241932085</v>
      </c>
    </row>
    <row r="17" spans="1:14" s="2" customFormat="1" x14ac:dyDescent="0.35">
      <c r="A17" s="2" t="s">
        <v>15</v>
      </c>
    </row>
    <row r="18" spans="1:14" x14ac:dyDescent="0.35">
      <c r="A18" t="s">
        <v>17</v>
      </c>
      <c r="B18" s="5">
        <f>IF('Data Sheet'!B30&gt;0, 'Data Sheet'!B31/'Data Sheet'!B30, 0)</f>
        <v>0.8325704649482053</v>
      </c>
      <c r="C18" s="5">
        <f>IF('Data Sheet'!C30&gt;0, 'Data Sheet'!C31/'Data Sheet'!C30, 0)</f>
        <v>0.82037533512064342</v>
      </c>
      <c r="D18" s="5">
        <f>IF('Data Sheet'!D30&gt;0, 'Data Sheet'!D31/'Data Sheet'!D30, 0)</f>
        <v>0.8285385500575374</v>
      </c>
      <c r="E18" s="5">
        <f>IF('Data Sheet'!E30&gt;0, 'Data Sheet'!E31/'Data Sheet'!E30, 0)</f>
        <v>0.78493557978196238</v>
      </c>
      <c r="F18" s="5">
        <f>IF('Data Sheet'!F30&gt;0, 'Data Sheet'!F31/'Data Sheet'!F30, 0)</f>
        <v>0.80023710729104924</v>
      </c>
      <c r="G18" s="5">
        <f>IF('Data Sheet'!G30&gt;0, 'Data Sheet'!G31/'Data Sheet'!G30, 0)</f>
        <v>1.1904315196998123</v>
      </c>
      <c r="H18" s="5">
        <f>IF('Data Sheet'!H30&gt;0, 'Data Sheet'!H31/'Data Sheet'!H30, 0)</f>
        <v>0.89987611217479446</v>
      </c>
      <c r="I18" s="5">
        <f>IF('Data Sheet'!I30&gt;0, 'Data Sheet'!I31/'Data Sheet'!I30, 0)</f>
        <v>0.90563241106719372</v>
      </c>
      <c r="J18" s="5">
        <f>IF('Data Sheet'!J30&gt;0, 'Data Sheet'!J31/'Data Sheet'!J30, 0)</f>
        <v>0.96039700301644448</v>
      </c>
      <c r="K18" s="5">
        <f>IF('Data Sheet'!K30&gt;0, 'Data Sheet'!K31/'Data Sheet'!K30, 0)</f>
        <v>1.1695933890506152</v>
      </c>
    </row>
    <row r="19" spans="1:14" x14ac:dyDescent="0.35">
      <c r="A19" t="s">
        <v>18</v>
      </c>
      <c r="B19" s="5">
        <f t="shared" ref="B19:L19" si="4">IF(B6&gt;0,B6/B4,0)</f>
        <v>0.18362020754365252</v>
      </c>
      <c r="C19" s="5">
        <f t="shared" ref="C19:K19" si="5">IF(C6&gt;0,C6/C4,0)</f>
        <v>0.1908208190097099</v>
      </c>
      <c r="D19" s="5">
        <f t="shared" si="5"/>
        <v>0.21097200731467156</v>
      </c>
      <c r="E19" s="5">
        <f t="shared" si="5"/>
        <v>0.2258967183922666</v>
      </c>
      <c r="F19" s="5">
        <f t="shared" si="5"/>
        <v>0.24786969308498605</v>
      </c>
      <c r="G19" s="5">
        <f t="shared" si="5"/>
        <v>0.24721442544866887</v>
      </c>
      <c r="H19" s="5">
        <f t="shared" si="5"/>
        <v>0.24514738969606834</v>
      </c>
      <c r="I19" s="5">
        <f t="shared" si="5"/>
        <v>0.23352591614394189</v>
      </c>
      <c r="J19" s="5">
        <f t="shared" si="5"/>
        <v>0.23683275171255008</v>
      </c>
      <c r="K19" s="5">
        <f t="shared" si="5"/>
        <v>0.23515153435465216</v>
      </c>
      <c r="L19" s="5">
        <f t="shared" si="4"/>
        <v>0.23513569176660698</v>
      </c>
    </row>
    <row r="20" spans="1:14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5">
      <c r="A23"/>
      <c r="B23"/>
      <c r="C23"/>
      <c r="D23"/>
      <c r="E23"/>
      <c r="F23"/>
      <c r="G23" t="s">
        <v>22</v>
      </c>
      <c r="H23" s="5">
        <f>IF(B4=0,"",POWER($K4/B4,1/9)-1)</f>
        <v>7.7707146164861518E-2</v>
      </c>
      <c r="I23" s="5">
        <f>IF(D4=0,"",POWER($K4/D4,1/7)-1)</f>
        <v>8.5495200164738439E-2</v>
      </c>
      <c r="J23" s="5">
        <f>IF(F4=0,"",POWER($K4/F4,1/5)-1)</f>
        <v>9.6718749336330845E-2</v>
      </c>
      <c r="K23" s="5">
        <f>IF(H4=0,"",POWER($K4/H4, 1/3)-1)</f>
        <v>6.3703283859108728E-2</v>
      </c>
      <c r="L23" s="5">
        <f>IF(ISERROR(MAX(IF(J4=0,"",(K4-J4)/J4),IF(K4=0,"",(L4-K4)/K4))),"",MAX(IF(J4=0,"",(K4-J4)/J4),IF(K4=0,"",(L4-K4)/K4)))</f>
        <v>1.9791262763344964E-2</v>
      </c>
      <c r="M23" s="16">
        <f>MAX(K23:L23)</f>
        <v>6.3703283859108728E-2</v>
      </c>
      <c r="N23" s="16">
        <f>MIN(H23:L23)</f>
        <v>1.9791262763344964E-2</v>
      </c>
    </row>
    <row r="24" spans="1:14" x14ac:dyDescent="0.35">
      <c r="G24" t="s">
        <v>18</v>
      </c>
      <c r="H24" s="5">
        <f>IF(SUM(B4:$K$4)=0,"",SUMPRODUCT(B19:$K$19,B4:$K$4)/SUM(B4:$K$4))</f>
        <v>0.22924071672934715</v>
      </c>
      <c r="I24" s="5">
        <f>IF(SUM(E4:$K$4)=0,"",SUMPRODUCT(E19:$K$19,E4:$K$4)/SUM(E4:$K$4))</f>
        <v>0.23855460726485869</v>
      </c>
      <c r="J24" s="5">
        <f>IF(SUM(G4:$K$4)=0,"",SUMPRODUCT(G19:$K$19,G4:$K$4)/SUM(G4:$K$4))</f>
        <v>0.23900010874483901</v>
      </c>
      <c r="K24" s="5">
        <f>IF(SUM(I4:$K$4)=0, "", SUMPRODUCT(I19:$K$19,I4:$K$4)/SUM(I4:$K$4))</f>
        <v>0.23518160315091299</v>
      </c>
      <c r="L24" s="5">
        <f>L19</f>
        <v>0.23513569176660698</v>
      </c>
      <c r="M24" s="16">
        <f>MAX(K24:L24)</f>
        <v>0.23518160315091299</v>
      </c>
      <c r="N24" s="16">
        <f>MIN(H24:L24)</f>
        <v>0.22924071672934715</v>
      </c>
    </row>
    <row r="25" spans="1:14" x14ac:dyDescent="0.35">
      <c r="G25" t="s">
        <v>23</v>
      </c>
      <c r="H25" s="6">
        <f>IF(ISERROR(AVERAGEIF(B14:$L14,"&gt;0")),"",AVERAGEIF(B14:$L14,"&gt;0"))</f>
        <v>56.081820901453781</v>
      </c>
      <c r="I25" s="6">
        <f>IF(ISERROR(AVERAGEIF(E14:$L14,"&gt;0")),"",AVERAGEIF(E14:$L14,"&gt;0"))</f>
        <v>59.016927110462007</v>
      </c>
      <c r="J25" s="6">
        <f>IF(ISERROR(AVERAGEIF(G14:$L14,"&gt;0")),"",AVERAGEIF(G14:$L14,"&gt;0"))</f>
        <v>56.228147283224644</v>
      </c>
      <c r="K25" s="6">
        <f>IF(ISERROR(AVERAGEIF(I14:$L14,"&gt;0")),"",AVERAGEIF(I14:$L14,"&gt;0"))</f>
        <v>52.924697739134338</v>
      </c>
      <c r="L25" s="6">
        <f>L14</f>
        <v>50.64561648981126</v>
      </c>
      <c r="M25" s="1">
        <f>MAX(K25:L25)</f>
        <v>52.924697739134338</v>
      </c>
      <c r="N25" s="1">
        <f>MIN(H25:L25)</f>
        <v>50.64561648981126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0.6328125" customWidth="1"/>
    <col min="2" max="11" width="13.453125" bestFit="1" customWidth="1"/>
  </cols>
  <sheetData>
    <row r="1" spans="1:11" s="2" customFormat="1" x14ac:dyDescent="0.35">
      <c r="A1" s="2" t="str">
        <f>'Profit &amp; Loss'!A1</f>
        <v>HINDUSTAN UNILEVER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44926</v>
      </c>
      <c r="C3" s="12">
        <f>'Data Sheet'!C41</f>
        <v>45016</v>
      </c>
      <c r="D3" s="12">
        <f>'Data Sheet'!D41</f>
        <v>45107</v>
      </c>
      <c r="E3" s="12">
        <f>'Data Sheet'!E41</f>
        <v>45199</v>
      </c>
      <c r="F3" s="12">
        <f>'Data Sheet'!F41</f>
        <v>45291</v>
      </c>
      <c r="G3" s="12">
        <f>'Data Sheet'!G41</f>
        <v>45382</v>
      </c>
      <c r="H3" s="12">
        <f>'Data Sheet'!H41</f>
        <v>45473</v>
      </c>
      <c r="I3" s="12">
        <f>'Data Sheet'!I41</f>
        <v>45565</v>
      </c>
      <c r="J3" s="12">
        <f>'Data Sheet'!J41</f>
        <v>45657</v>
      </c>
      <c r="K3" s="12">
        <f>'Data Sheet'!K41</f>
        <v>45747</v>
      </c>
    </row>
    <row r="4" spans="1:11" s="2" customFormat="1" x14ac:dyDescent="0.35">
      <c r="A4" s="2" t="s">
        <v>6</v>
      </c>
      <c r="B4" s="1">
        <f>'Data Sheet'!B42</f>
        <v>15597</v>
      </c>
      <c r="C4" s="1">
        <f>'Data Sheet'!C42</f>
        <v>15215</v>
      </c>
      <c r="D4" s="1">
        <f>'Data Sheet'!D42</f>
        <v>15496</v>
      </c>
      <c r="E4" s="1">
        <f>'Data Sheet'!E42</f>
        <v>15623</v>
      </c>
      <c r="F4" s="1">
        <f>'Data Sheet'!F42</f>
        <v>15567</v>
      </c>
      <c r="G4" s="1">
        <f>'Data Sheet'!G42</f>
        <v>15210</v>
      </c>
      <c r="H4" s="1">
        <f>'Data Sheet'!H42</f>
        <v>15707</v>
      </c>
      <c r="I4" s="1">
        <f>'Data Sheet'!I42</f>
        <v>15926</v>
      </c>
      <c r="J4" s="1">
        <f>'Data Sheet'!J42</f>
        <v>15818</v>
      </c>
      <c r="K4" s="1">
        <f>'Data Sheet'!K42</f>
        <v>15670</v>
      </c>
    </row>
    <row r="5" spans="1:11" x14ac:dyDescent="0.35">
      <c r="A5" t="s">
        <v>7</v>
      </c>
      <c r="B5" s="6">
        <f>'Data Sheet'!B43</f>
        <v>11903</v>
      </c>
      <c r="C5" s="6">
        <f>'Data Sheet'!C43</f>
        <v>11643</v>
      </c>
      <c r="D5" s="6">
        <f>'Data Sheet'!D43</f>
        <v>11832</v>
      </c>
      <c r="E5" s="6">
        <f>'Data Sheet'!E43</f>
        <v>11828</v>
      </c>
      <c r="F5" s="6">
        <f>'Data Sheet'!F43</f>
        <v>11902</v>
      </c>
      <c r="G5" s="6">
        <f>'Data Sheet'!G43</f>
        <v>11675</v>
      </c>
      <c r="H5" s="6">
        <f>'Data Sheet'!H43</f>
        <v>11965</v>
      </c>
      <c r="I5" s="6">
        <f>'Data Sheet'!I43</f>
        <v>12139</v>
      </c>
      <c r="J5" s="6">
        <f>'Data Sheet'!J43</f>
        <v>12123</v>
      </c>
      <c r="K5" s="6">
        <f>'Data Sheet'!K43</f>
        <v>12052</v>
      </c>
    </row>
    <row r="6" spans="1:11" s="2" customFormat="1" x14ac:dyDescent="0.35">
      <c r="A6" s="2" t="s">
        <v>8</v>
      </c>
      <c r="B6" s="1">
        <f>'Data Sheet'!B50</f>
        <v>3694</v>
      </c>
      <c r="C6" s="1">
        <f>'Data Sheet'!C50</f>
        <v>3572</v>
      </c>
      <c r="D6" s="1">
        <f>'Data Sheet'!D50</f>
        <v>3664</v>
      </c>
      <c r="E6" s="1">
        <f>'Data Sheet'!E50</f>
        <v>3795</v>
      </c>
      <c r="F6" s="1">
        <f>'Data Sheet'!F50</f>
        <v>3665</v>
      </c>
      <c r="G6" s="1">
        <f>'Data Sheet'!G50</f>
        <v>3535</v>
      </c>
      <c r="H6" s="1">
        <f>'Data Sheet'!H50</f>
        <v>3742</v>
      </c>
      <c r="I6" s="1">
        <f>'Data Sheet'!I50</f>
        <v>3787</v>
      </c>
      <c r="J6" s="1">
        <f>'Data Sheet'!J50</f>
        <v>3695</v>
      </c>
      <c r="K6" s="1">
        <f>'Data Sheet'!K50</f>
        <v>3618</v>
      </c>
    </row>
    <row r="7" spans="1:11" x14ac:dyDescent="0.35">
      <c r="A7" t="s">
        <v>9</v>
      </c>
      <c r="B7" s="6">
        <f>'Data Sheet'!B44</f>
        <v>7</v>
      </c>
      <c r="C7" s="6">
        <f>'Data Sheet'!C44</f>
        <v>240</v>
      </c>
      <c r="D7" s="6">
        <f>'Data Sheet'!D44</f>
        <v>146</v>
      </c>
      <c r="E7" s="6">
        <f>'Data Sheet'!E44</f>
        <v>178</v>
      </c>
      <c r="F7" s="6">
        <f>'Data Sheet'!F44</f>
        <v>184</v>
      </c>
      <c r="G7" s="6">
        <f>'Data Sheet'!G44</f>
        <v>309</v>
      </c>
      <c r="H7" s="6">
        <f>'Data Sheet'!H44</f>
        <v>209</v>
      </c>
      <c r="I7" s="6">
        <f>'Data Sheet'!I44</f>
        <v>203</v>
      </c>
      <c r="J7" s="6">
        <f>'Data Sheet'!J44</f>
        <v>740</v>
      </c>
      <c r="K7" s="6">
        <f>'Data Sheet'!K44</f>
        <v>171</v>
      </c>
    </row>
    <row r="8" spans="1:11" x14ac:dyDescent="0.35">
      <c r="A8" t="s">
        <v>10</v>
      </c>
      <c r="B8" s="6">
        <f>'Data Sheet'!B45</f>
        <v>293</v>
      </c>
      <c r="C8" s="6">
        <f>'Data Sheet'!C45</f>
        <v>291</v>
      </c>
      <c r="D8" s="6">
        <f>'Data Sheet'!D45</f>
        <v>286</v>
      </c>
      <c r="E8" s="6">
        <f>'Data Sheet'!E45</f>
        <v>297</v>
      </c>
      <c r="F8" s="6">
        <f>'Data Sheet'!F45</f>
        <v>313</v>
      </c>
      <c r="G8" s="6">
        <f>'Data Sheet'!G45</f>
        <v>320</v>
      </c>
      <c r="H8" s="6">
        <f>'Data Sheet'!H45</f>
        <v>329</v>
      </c>
      <c r="I8" s="6">
        <f>'Data Sheet'!I45</f>
        <v>338</v>
      </c>
      <c r="J8" s="6">
        <f>'Data Sheet'!J45</f>
        <v>341</v>
      </c>
      <c r="K8" s="6">
        <f>'Data Sheet'!K45</f>
        <v>347</v>
      </c>
    </row>
    <row r="9" spans="1:11" x14ac:dyDescent="0.35">
      <c r="A9" t="s">
        <v>11</v>
      </c>
      <c r="B9" s="6">
        <f>'Data Sheet'!B46</f>
        <v>29</v>
      </c>
      <c r="C9" s="6">
        <f>'Data Sheet'!C46</f>
        <v>29</v>
      </c>
      <c r="D9" s="6">
        <f>'Data Sheet'!D46</f>
        <v>50</v>
      </c>
      <c r="E9" s="6">
        <f>'Data Sheet'!E46</f>
        <v>88</v>
      </c>
      <c r="F9" s="6">
        <f>'Data Sheet'!F46</f>
        <v>91</v>
      </c>
      <c r="G9" s="6">
        <f>'Data Sheet'!G46</f>
        <v>105</v>
      </c>
      <c r="H9" s="6">
        <f>'Data Sheet'!H46</f>
        <v>93</v>
      </c>
      <c r="I9" s="6">
        <f>'Data Sheet'!I46</f>
        <v>110</v>
      </c>
      <c r="J9" s="6">
        <f>'Data Sheet'!J46</f>
        <v>112</v>
      </c>
      <c r="K9" s="6">
        <f>'Data Sheet'!K46</f>
        <v>80</v>
      </c>
    </row>
    <row r="10" spans="1:11" x14ac:dyDescent="0.35">
      <c r="A10" t="s">
        <v>12</v>
      </c>
      <c r="B10" s="6">
        <f>'Data Sheet'!B47</f>
        <v>3379</v>
      </c>
      <c r="C10" s="6">
        <f>'Data Sheet'!C47</f>
        <v>3492</v>
      </c>
      <c r="D10" s="6">
        <f>'Data Sheet'!D47</f>
        <v>3474</v>
      </c>
      <c r="E10" s="6">
        <f>'Data Sheet'!E47</f>
        <v>3588</v>
      </c>
      <c r="F10" s="6">
        <f>'Data Sheet'!F47</f>
        <v>3445</v>
      </c>
      <c r="G10" s="6">
        <f>'Data Sheet'!G47</f>
        <v>3419</v>
      </c>
      <c r="H10" s="6">
        <f>'Data Sheet'!H47</f>
        <v>3529</v>
      </c>
      <c r="I10" s="6">
        <f>'Data Sheet'!I47</f>
        <v>3542</v>
      </c>
      <c r="J10" s="6">
        <f>'Data Sheet'!J47</f>
        <v>3982</v>
      </c>
      <c r="K10" s="6">
        <f>'Data Sheet'!K47</f>
        <v>3362</v>
      </c>
    </row>
    <row r="11" spans="1:11" x14ac:dyDescent="0.35">
      <c r="A11" t="s">
        <v>13</v>
      </c>
      <c r="B11" s="6">
        <f>'Data Sheet'!B48</f>
        <v>898</v>
      </c>
      <c r="C11" s="6">
        <f>'Data Sheet'!C48</f>
        <v>891</v>
      </c>
      <c r="D11" s="6">
        <f>'Data Sheet'!D48</f>
        <v>918</v>
      </c>
      <c r="E11" s="6">
        <f>'Data Sheet'!E48</f>
        <v>931</v>
      </c>
      <c r="F11" s="6">
        <f>'Data Sheet'!F48</f>
        <v>937</v>
      </c>
      <c r="G11" s="6">
        <f>'Data Sheet'!G48</f>
        <v>858</v>
      </c>
      <c r="H11" s="6">
        <f>'Data Sheet'!H48</f>
        <v>917</v>
      </c>
      <c r="I11" s="6">
        <f>'Data Sheet'!I48</f>
        <v>947</v>
      </c>
      <c r="J11" s="6">
        <f>'Data Sheet'!J48</f>
        <v>993</v>
      </c>
      <c r="K11" s="6">
        <f>'Data Sheet'!K48</f>
        <v>887</v>
      </c>
    </row>
    <row r="12" spans="1:11" s="2" customFormat="1" x14ac:dyDescent="0.35">
      <c r="A12" s="2" t="s">
        <v>14</v>
      </c>
      <c r="B12" s="1">
        <f>'Data Sheet'!B49</f>
        <v>2474</v>
      </c>
      <c r="C12" s="1">
        <f>'Data Sheet'!C49</f>
        <v>2600</v>
      </c>
      <c r="D12" s="1">
        <f>'Data Sheet'!D49</f>
        <v>2554</v>
      </c>
      <c r="E12" s="1">
        <f>'Data Sheet'!E49</f>
        <v>2656</v>
      </c>
      <c r="F12" s="1">
        <f>'Data Sheet'!F49</f>
        <v>2509</v>
      </c>
      <c r="G12" s="1">
        <f>'Data Sheet'!G49</f>
        <v>2558</v>
      </c>
      <c r="H12" s="1">
        <f>'Data Sheet'!H49</f>
        <v>2610</v>
      </c>
      <c r="I12" s="1">
        <f>'Data Sheet'!I49</f>
        <v>2591</v>
      </c>
      <c r="J12" s="1">
        <f>'Data Sheet'!J49</f>
        <v>2984</v>
      </c>
      <c r="K12" s="1">
        <f>'Data Sheet'!K49</f>
        <v>2464</v>
      </c>
    </row>
    <row r="14" spans="1:11" s="2" customFormat="1" x14ac:dyDescent="0.35">
      <c r="A14" s="2" t="s">
        <v>18</v>
      </c>
      <c r="B14" s="10">
        <f>IF(B4&gt;0,B6/B4,"")</f>
        <v>0.23684041802910816</v>
      </c>
      <c r="C14" s="10">
        <f t="shared" ref="C14:K14" si="0">IF(C4&gt;0,C6/C4,"")</f>
        <v>0.23476832073611567</v>
      </c>
      <c r="D14" s="10">
        <f t="shared" si="0"/>
        <v>0.23644811564274651</v>
      </c>
      <c r="E14" s="10">
        <f t="shared" si="0"/>
        <v>0.24291109261985533</v>
      </c>
      <c r="F14" s="10">
        <f t="shared" si="0"/>
        <v>0.23543393075094751</v>
      </c>
      <c r="G14" s="10">
        <f t="shared" si="0"/>
        <v>0.23241288625904011</v>
      </c>
      <c r="H14" s="10">
        <f t="shared" si="0"/>
        <v>0.23823772840134971</v>
      </c>
      <c r="I14" s="10">
        <f t="shared" si="0"/>
        <v>0.23778726610573905</v>
      </c>
      <c r="J14" s="10">
        <f t="shared" si="0"/>
        <v>0.23359463901883928</v>
      </c>
      <c r="K14" s="10">
        <f t="shared" si="0"/>
        <v>0.23088704530950863</v>
      </c>
    </row>
    <row r="22" s="23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81640625" defaultRowHeight="14.5" x14ac:dyDescent="0.35"/>
  <cols>
    <col min="1" max="1" width="22.81640625" bestFit="1" customWidth="1"/>
    <col min="2" max="2" width="13.453125" customWidth="1"/>
    <col min="3" max="11" width="15.453125" customWidth="1"/>
  </cols>
  <sheetData>
    <row r="1" spans="1:11" s="2" customFormat="1" x14ac:dyDescent="0.35">
      <c r="A1" s="2" t="str">
        <f>'Profit &amp; Loss'!A1</f>
        <v>HINDUSTAN UNILEVER LTD</v>
      </c>
      <c r="E1" t="str">
        <f>UPDATE</f>
        <v/>
      </c>
      <c r="G1"/>
      <c r="J1" s="2" t="s">
        <v>1</v>
      </c>
    </row>
    <row r="2" spans="1:11" x14ac:dyDescent="0.35">
      <c r="G2" s="2"/>
      <c r="H2" s="2"/>
    </row>
    <row r="3" spans="1:11" x14ac:dyDescent="0.35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5">
      <c r="A4" t="s">
        <v>24</v>
      </c>
      <c r="B4" s="14">
        <f>'Data Sheet'!B57</f>
        <v>216</v>
      </c>
      <c r="C4" s="14">
        <f>'Data Sheet'!C57</f>
        <v>216</v>
      </c>
      <c r="D4" s="14">
        <f>'Data Sheet'!D57</f>
        <v>216</v>
      </c>
      <c r="E4" s="14">
        <f>'Data Sheet'!E57</f>
        <v>216</v>
      </c>
      <c r="F4" s="14">
        <f>'Data Sheet'!F57</f>
        <v>216</v>
      </c>
      <c r="G4" s="14">
        <f>'Data Sheet'!G57</f>
        <v>235</v>
      </c>
      <c r="H4" s="14">
        <f>'Data Sheet'!H57</f>
        <v>235</v>
      </c>
      <c r="I4" s="14">
        <f>'Data Sheet'!I57</f>
        <v>235</v>
      </c>
      <c r="J4" s="14">
        <f>'Data Sheet'!J57</f>
        <v>235</v>
      </c>
      <c r="K4" s="14">
        <f>'Data Sheet'!K57</f>
        <v>235</v>
      </c>
    </row>
    <row r="5" spans="1:11" x14ac:dyDescent="0.35">
      <c r="A5" t="s">
        <v>25</v>
      </c>
      <c r="B5" s="14">
        <f>'Data Sheet'!B58</f>
        <v>6357</v>
      </c>
      <c r="C5" s="14">
        <f>'Data Sheet'!C58</f>
        <v>6528</v>
      </c>
      <c r="D5" s="14">
        <f>'Data Sheet'!D58</f>
        <v>7065</v>
      </c>
      <c r="E5" s="14">
        <f>'Data Sheet'!E58</f>
        <v>7651</v>
      </c>
      <c r="F5" s="14">
        <f>'Data Sheet'!F58</f>
        <v>8013</v>
      </c>
      <c r="G5" s="14">
        <f>'Data Sheet'!G58</f>
        <v>47439</v>
      </c>
      <c r="H5" s="14">
        <f>'Data Sheet'!H58</f>
        <v>48826</v>
      </c>
      <c r="I5" s="14">
        <f>'Data Sheet'!I58</f>
        <v>50069</v>
      </c>
      <c r="J5" s="14">
        <f>'Data Sheet'!J58</f>
        <v>50983</v>
      </c>
      <c r="K5" s="14">
        <f>'Data Sheet'!K58</f>
        <v>49167</v>
      </c>
    </row>
    <row r="6" spans="1:11" x14ac:dyDescent="0.35">
      <c r="A6" t="s">
        <v>71</v>
      </c>
      <c r="B6" s="14">
        <f>'Data Sheet'!B59</f>
        <v>177</v>
      </c>
      <c r="C6" s="14">
        <f>'Data Sheet'!C59</f>
        <v>277</v>
      </c>
      <c r="D6" s="14">
        <f>'Data Sheet'!D59</f>
        <v>0</v>
      </c>
      <c r="E6" s="14">
        <f>'Data Sheet'!E59</f>
        <v>99</v>
      </c>
      <c r="F6" s="14">
        <f>'Data Sheet'!F59</f>
        <v>0</v>
      </c>
      <c r="G6" s="14">
        <f>'Data Sheet'!G59</f>
        <v>0</v>
      </c>
      <c r="H6" s="14">
        <f>'Data Sheet'!H59</f>
        <v>1043</v>
      </c>
      <c r="I6" s="14">
        <f>'Data Sheet'!I59</f>
        <v>1219</v>
      </c>
      <c r="J6" s="14">
        <f>'Data Sheet'!J59</f>
        <v>1484</v>
      </c>
      <c r="K6" s="14">
        <f>'Data Sheet'!K59</f>
        <v>1648</v>
      </c>
    </row>
    <row r="7" spans="1:11" x14ac:dyDescent="0.35">
      <c r="A7" t="s">
        <v>72</v>
      </c>
      <c r="B7" s="14">
        <f>'Data Sheet'!B60</f>
        <v>8043</v>
      </c>
      <c r="C7" s="14">
        <f>'Data Sheet'!C60</f>
        <v>8685</v>
      </c>
      <c r="D7" s="14">
        <f>'Data Sheet'!D60</f>
        <v>10581</v>
      </c>
      <c r="E7" s="14">
        <f>'Data Sheet'!E60</f>
        <v>10663</v>
      </c>
      <c r="F7" s="14">
        <f>'Data Sheet'!F60</f>
        <v>11924</v>
      </c>
      <c r="G7" s="14">
        <f>'Data Sheet'!G60</f>
        <v>21066</v>
      </c>
      <c r="H7" s="14">
        <f>'Data Sheet'!H60</f>
        <v>20402</v>
      </c>
      <c r="I7" s="14">
        <f>'Data Sheet'!I60</f>
        <v>21554</v>
      </c>
      <c r="J7" s="14">
        <f>'Data Sheet'!J60</f>
        <v>25787</v>
      </c>
      <c r="K7" s="14">
        <f>'Data Sheet'!K60</f>
        <v>28830</v>
      </c>
    </row>
    <row r="8" spans="1:11" s="2" customFormat="1" x14ac:dyDescent="0.35">
      <c r="A8" s="2" t="s">
        <v>26</v>
      </c>
      <c r="B8" s="15">
        <f>'Data Sheet'!B61</f>
        <v>14793</v>
      </c>
      <c r="C8" s="15">
        <f>'Data Sheet'!C61</f>
        <v>15706</v>
      </c>
      <c r="D8" s="15">
        <f>'Data Sheet'!D61</f>
        <v>17862</v>
      </c>
      <c r="E8" s="15">
        <f>'Data Sheet'!E61</f>
        <v>18629</v>
      </c>
      <c r="F8" s="15">
        <f>'Data Sheet'!F61</f>
        <v>20153</v>
      </c>
      <c r="G8" s="15">
        <f>'Data Sheet'!G61</f>
        <v>68740</v>
      </c>
      <c r="H8" s="15">
        <f>'Data Sheet'!H61</f>
        <v>70506</v>
      </c>
      <c r="I8" s="15">
        <f>'Data Sheet'!I61</f>
        <v>73077</v>
      </c>
      <c r="J8" s="15">
        <f>'Data Sheet'!J61</f>
        <v>78489</v>
      </c>
      <c r="K8" s="15">
        <f>'Data Sheet'!K61</f>
        <v>79880</v>
      </c>
    </row>
    <row r="9" spans="1:11" s="2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t="s">
        <v>27</v>
      </c>
      <c r="B10" s="14">
        <f>'Data Sheet'!B62</f>
        <v>3258</v>
      </c>
      <c r="C10" s="14">
        <f>'Data Sheet'!C62</f>
        <v>4419</v>
      </c>
      <c r="D10" s="14">
        <f>'Data Sheet'!D62</f>
        <v>4528</v>
      </c>
      <c r="E10" s="14">
        <f>'Data Sheet'!E62</f>
        <v>4715</v>
      </c>
      <c r="F10" s="14">
        <f>'Data Sheet'!F62</f>
        <v>5479</v>
      </c>
      <c r="G10" s="14">
        <f>'Data Sheet'!G62</f>
        <v>51443</v>
      </c>
      <c r="H10" s="14">
        <f>'Data Sheet'!H62</f>
        <v>51473</v>
      </c>
      <c r="I10" s="14">
        <f>'Data Sheet'!I62</f>
        <v>52678</v>
      </c>
      <c r="J10" s="14">
        <f>'Data Sheet'!J62</f>
        <v>53744</v>
      </c>
      <c r="K10" s="14">
        <f>'Data Sheet'!K62</f>
        <v>54335</v>
      </c>
    </row>
    <row r="11" spans="1:11" x14ac:dyDescent="0.35">
      <c r="A11" t="s">
        <v>28</v>
      </c>
      <c r="B11" s="14">
        <f>'Data Sheet'!B63</f>
        <v>408</v>
      </c>
      <c r="C11" s="14">
        <f>'Data Sheet'!C63</f>
        <v>229</v>
      </c>
      <c r="D11" s="14">
        <f>'Data Sheet'!D63</f>
        <v>461</v>
      </c>
      <c r="E11" s="14">
        <f>'Data Sheet'!E63</f>
        <v>406</v>
      </c>
      <c r="F11" s="14">
        <f>'Data Sheet'!F63</f>
        <v>597</v>
      </c>
      <c r="G11" s="14">
        <f>'Data Sheet'!G63</f>
        <v>745</v>
      </c>
      <c r="H11" s="14">
        <f>'Data Sheet'!H63</f>
        <v>1313</v>
      </c>
      <c r="I11" s="14">
        <f>'Data Sheet'!I63</f>
        <v>1132</v>
      </c>
      <c r="J11" s="14">
        <f>'Data Sheet'!J63</f>
        <v>1025</v>
      </c>
      <c r="K11" s="14">
        <f>'Data Sheet'!K63</f>
        <v>1009</v>
      </c>
    </row>
    <row r="12" spans="1:11" x14ac:dyDescent="0.35">
      <c r="A12" t="s">
        <v>29</v>
      </c>
      <c r="B12" s="14">
        <f>'Data Sheet'!B64</f>
        <v>2592</v>
      </c>
      <c r="C12" s="14">
        <f>'Data Sheet'!C64</f>
        <v>3794</v>
      </c>
      <c r="D12" s="14">
        <f>'Data Sheet'!D64</f>
        <v>2873</v>
      </c>
      <c r="E12" s="14">
        <f>'Data Sheet'!E64</f>
        <v>2716</v>
      </c>
      <c r="F12" s="14">
        <f>'Data Sheet'!F64</f>
        <v>1255</v>
      </c>
      <c r="G12" s="14">
        <f>'Data Sheet'!G64</f>
        <v>2709</v>
      </c>
      <c r="H12" s="14">
        <f>'Data Sheet'!H64</f>
        <v>3521</v>
      </c>
      <c r="I12" s="14">
        <f>'Data Sheet'!I64</f>
        <v>2882</v>
      </c>
      <c r="J12" s="14">
        <f>'Data Sheet'!J64</f>
        <v>4625</v>
      </c>
      <c r="K12" s="14">
        <f>'Data Sheet'!K64</f>
        <v>3810</v>
      </c>
    </row>
    <row r="13" spans="1:11" x14ac:dyDescent="0.35">
      <c r="A13" t="s">
        <v>73</v>
      </c>
      <c r="B13" s="14">
        <f>'Data Sheet'!B65</f>
        <v>8535</v>
      </c>
      <c r="C13" s="14">
        <f>'Data Sheet'!C65</f>
        <v>7264</v>
      </c>
      <c r="D13" s="14">
        <f>'Data Sheet'!D65</f>
        <v>10000</v>
      </c>
      <c r="E13" s="14">
        <f>'Data Sheet'!E65</f>
        <v>10792</v>
      </c>
      <c r="F13" s="14">
        <f>'Data Sheet'!F65</f>
        <v>12822</v>
      </c>
      <c r="G13" s="14">
        <f>'Data Sheet'!G65</f>
        <v>13843</v>
      </c>
      <c r="H13" s="14">
        <f>'Data Sheet'!H65</f>
        <v>14199</v>
      </c>
      <c r="I13" s="14">
        <f>'Data Sheet'!I65</f>
        <v>16385</v>
      </c>
      <c r="J13" s="14">
        <f>'Data Sheet'!J65</f>
        <v>19095</v>
      </c>
      <c r="K13" s="14">
        <f>'Data Sheet'!K65</f>
        <v>20726</v>
      </c>
    </row>
    <row r="14" spans="1:11" s="2" customFormat="1" x14ac:dyDescent="0.35">
      <c r="A14" s="2" t="s">
        <v>26</v>
      </c>
      <c r="B14" s="14">
        <f>'Data Sheet'!B66</f>
        <v>14793</v>
      </c>
      <c r="C14" s="14">
        <f>'Data Sheet'!C66</f>
        <v>15706</v>
      </c>
      <c r="D14" s="14">
        <f>'Data Sheet'!D66</f>
        <v>17862</v>
      </c>
      <c r="E14" s="14">
        <f>'Data Sheet'!E66</f>
        <v>18629</v>
      </c>
      <c r="F14" s="14">
        <f>'Data Sheet'!F66</f>
        <v>20153</v>
      </c>
      <c r="G14" s="14">
        <f>'Data Sheet'!G66</f>
        <v>68740</v>
      </c>
      <c r="H14" s="14">
        <f>'Data Sheet'!H66</f>
        <v>70506</v>
      </c>
      <c r="I14" s="14">
        <f>'Data Sheet'!I66</f>
        <v>73077</v>
      </c>
      <c r="J14" s="14">
        <f>'Data Sheet'!J66</f>
        <v>78489</v>
      </c>
      <c r="K14" s="14">
        <f>'Data Sheet'!K66</f>
        <v>79880</v>
      </c>
    </row>
    <row r="15" spans="1:1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t="s">
        <v>30</v>
      </c>
      <c r="B16" s="4">
        <f>B13-B7</f>
        <v>492</v>
      </c>
      <c r="C16" s="4">
        <f t="shared" ref="C16:K16" si="0">C13-C7</f>
        <v>-1421</v>
      </c>
      <c r="D16" s="4">
        <f t="shared" si="0"/>
        <v>-581</v>
      </c>
      <c r="E16" s="4">
        <f t="shared" si="0"/>
        <v>129</v>
      </c>
      <c r="F16" s="4">
        <f t="shared" si="0"/>
        <v>898</v>
      </c>
      <c r="G16" s="4">
        <f t="shared" si="0"/>
        <v>-7223</v>
      </c>
      <c r="H16" s="4">
        <f t="shared" si="0"/>
        <v>-6203</v>
      </c>
      <c r="I16" s="4">
        <f t="shared" si="0"/>
        <v>-5169</v>
      </c>
      <c r="J16" s="4">
        <f t="shared" si="0"/>
        <v>-6692</v>
      </c>
      <c r="K16" s="4">
        <f t="shared" si="0"/>
        <v>-8104</v>
      </c>
    </row>
    <row r="17" spans="1:11" x14ac:dyDescent="0.35">
      <c r="A17" t="s">
        <v>44</v>
      </c>
      <c r="B17" s="4">
        <f>'Data Sheet'!B67</f>
        <v>1264</v>
      </c>
      <c r="C17" s="4">
        <f>'Data Sheet'!C67</f>
        <v>1085</v>
      </c>
      <c r="D17" s="4">
        <f>'Data Sheet'!D67</f>
        <v>1310</v>
      </c>
      <c r="E17" s="4">
        <f>'Data Sheet'!E67</f>
        <v>1816</v>
      </c>
      <c r="F17" s="4">
        <f>'Data Sheet'!F67</f>
        <v>1149</v>
      </c>
      <c r="G17" s="4">
        <f>'Data Sheet'!G67</f>
        <v>1758</v>
      </c>
      <c r="H17" s="4">
        <f>'Data Sheet'!H67</f>
        <v>2236</v>
      </c>
      <c r="I17" s="4">
        <f>'Data Sheet'!I67</f>
        <v>3079</v>
      </c>
      <c r="J17" s="4">
        <f>'Data Sheet'!J67</f>
        <v>2997</v>
      </c>
      <c r="K17" s="4">
        <f>'Data Sheet'!K67</f>
        <v>3819</v>
      </c>
    </row>
    <row r="18" spans="1:11" x14ac:dyDescent="0.35">
      <c r="A18" t="s">
        <v>45</v>
      </c>
      <c r="B18" s="4">
        <f>'Data Sheet'!B68</f>
        <v>2726</v>
      </c>
      <c r="C18" s="4">
        <f>'Data Sheet'!C68</f>
        <v>2541</v>
      </c>
      <c r="D18" s="4">
        <f>'Data Sheet'!D68</f>
        <v>2513</v>
      </c>
      <c r="E18" s="4">
        <f>'Data Sheet'!E68</f>
        <v>2574</v>
      </c>
      <c r="F18" s="4">
        <f>'Data Sheet'!F68</f>
        <v>2767</v>
      </c>
      <c r="G18" s="4">
        <f>'Data Sheet'!G68</f>
        <v>3579</v>
      </c>
      <c r="H18" s="4">
        <f>'Data Sheet'!H68</f>
        <v>4096</v>
      </c>
      <c r="I18" s="4">
        <f>'Data Sheet'!I68</f>
        <v>4251</v>
      </c>
      <c r="J18" s="4">
        <f>'Data Sheet'!J68</f>
        <v>4022</v>
      </c>
      <c r="K18" s="4">
        <f>'Data Sheet'!K68</f>
        <v>4415</v>
      </c>
    </row>
    <row r="20" spans="1:11" x14ac:dyDescent="0.35">
      <c r="A20" t="s">
        <v>46</v>
      </c>
      <c r="B20" s="4">
        <f>IF('Profit &amp; Loss'!B4&gt;0,'Balance Sheet'!B17/('Profit &amp; Loss'!B4/365),0)</f>
        <v>14.334182563847635</v>
      </c>
      <c r="C20" s="4">
        <f>IF('Profit &amp; Loss'!C4&gt;0,'Balance Sheet'!C17/('Profit &amp; Loss'!C4/365),0)</f>
        <v>11.942132561365419</v>
      </c>
      <c r="D20" s="4">
        <f>IF('Profit &amp; Loss'!D4&gt;0,'Balance Sheet'!D17/('Profit &amp; Loss'!D4/365),0)</f>
        <v>13.4519623013082</v>
      </c>
      <c r="E20" s="4">
        <f>IF('Profit &amp; Loss'!E4&gt;0,'Balance Sheet'!E17/('Profit &amp; Loss'!E4/365),0)</f>
        <v>16.861867209361485</v>
      </c>
      <c r="F20" s="4">
        <f>IF('Profit &amp; Loss'!F4&gt;0,'Balance Sheet'!F17/('Profit &amp; Loss'!F4/365),0)</f>
        <v>10.541814342809744</v>
      </c>
      <c r="G20" s="4">
        <f>IF('Profit &amp; Loss'!G4&gt;0,'Balance Sheet'!G17/('Profit &amp; Loss'!G4/365),0)</f>
        <v>13.644424598111764</v>
      </c>
      <c r="H20" s="4">
        <f>IF('Profit &amp; Loss'!H4&gt;0,'Balance Sheet'!H17/('Profit &amp; Loss'!H4/365),0)</f>
        <v>15.56152995461999</v>
      </c>
      <c r="I20" s="4">
        <f>IF('Profit &amp; Loss'!I4&gt;0,'Balance Sheet'!I17/('Profit &amp; Loss'!I4/365),0)</f>
        <v>18.551254539451964</v>
      </c>
      <c r="J20" s="4">
        <f>IF('Profit &amp; Loss'!J4&gt;0,'Balance Sheet'!J17/('Profit &amp; Loss'!J4/365),0)</f>
        <v>17.673274525009692</v>
      </c>
      <c r="K20" s="4">
        <f>IF('Profit &amp; Loss'!K4&gt;0,'Balance Sheet'!K17/('Profit &amp; Loss'!K4/365),0)</f>
        <v>22.08353796676225</v>
      </c>
    </row>
    <row r="21" spans="1:11" x14ac:dyDescent="0.35">
      <c r="A21" t="s">
        <v>47</v>
      </c>
      <c r="B21" s="4">
        <f>IF('Balance Sheet'!B18&gt;0,'Profit &amp; Loss'!B4/'Balance Sheet'!B18,0)</f>
        <v>11.807043286867204</v>
      </c>
      <c r="C21" s="4">
        <f>IF('Balance Sheet'!C18&gt;0,'Profit &amp; Loss'!C4/'Balance Sheet'!C18,0)</f>
        <v>13.050767414403778</v>
      </c>
      <c r="D21" s="4">
        <f>IF('Balance Sheet'!D18&gt;0,'Profit &amp; Loss'!D4/'Balance Sheet'!D18,0)</f>
        <v>14.144448865897333</v>
      </c>
      <c r="E21" s="4">
        <f>IF('Balance Sheet'!E18&gt;0,'Profit &amp; Loss'!E4/'Balance Sheet'!E18,0)</f>
        <v>15.271950271950272</v>
      </c>
      <c r="F21" s="4">
        <f>IF('Balance Sheet'!F18&gt;0,'Profit &amp; Loss'!F4/'Balance Sheet'!F18,0)</f>
        <v>14.377665341525118</v>
      </c>
      <c r="G21" s="4">
        <f>IF('Balance Sheet'!G18&gt;0,'Profit &amp; Loss'!G4/'Balance Sheet'!G18,0)</f>
        <v>13.139983235540655</v>
      </c>
      <c r="H21" s="4">
        <f>IF('Balance Sheet'!H18&gt;0,'Profit &amp; Loss'!H4/'Balance Sheet'!H18,0)</f>
        <v>12.80419921875</v>
      </c>
      <c r="I21" s="4">
        <f>IF('Balance Sheet'!I18&gt;0,'Profit &amp; Loss'!I4/'Balance Sheet'!I18,0)</f>
        <v>14.250764525993883</v>
      </c>
      <c r="J21" s="4">
        <f>IF('Balance Sheet'!J18&gt;0,'Profit &amp; Loss'!J4/'Balance Sheet'!J18,0)</f>
        <v>15.389358528095475</v>
      </c>
      <c r="K21" s="4">
        <f>IF('Balance Sheet'!K18&gt;0,'Profit &amp; Loss'!K4/'Balance Sheet'!K18,0)</f>
        <v>14.296942242355605</v>
      </c>
    </row>
    <row r="23" spans="1:11" s="2" customFormat="1" x14ac:dyDescent="0.35">
      <c r="A23" s="2" t="s">
        <v>59</v>
      </c>
      <c r="B23" s="10">
        <f>IF(SUM('Balance Sheet'!B4:B5)&gt;0,'Profit &amp; Loss'!B12/SUM('Balance Sheet'!B4:B5),"")</f>
        <v>0.6315228966986155</v>
      </c>
      <c r="C23" s="10">
        <f>IF(SUM('Balance Sheet'!C4:C5)&gt;0,'Profit &amp; Loss'!C12/SUM('Balance Sheet'!C4:C5),"")</f>
        <v>0.66370106761565839</v>
      </c>
      <c r="D23" s="10">
        <f>IF(SUM('Balance Sheet'!D4:D5)&gt;0,'Profit &amp; Loss'!D12/SUM('Balance Sheet'!D4:D5),"")</f>
        <v>0.71611042439225381</v>
      </c>
      <c r="E23" s="10">
        <f>IF(SUM('Balance Sheet'!E4:E5)&gt;0,'Profit &amp; Loss'!E12/SUM('Balance Sheet'!E4:E5),"")</f>
        <v>0.76954366340409308</v>
      </c>
      <c r="F23" s="10">
        <f>IF(SUM('Balance Sheet'!F4:F5)&gt;0,'Profit &amp; Loss'!F12/SUM('Balance Sheet'!F4:F5),"")</f>
        <v>0.82002673471867782</v>
      </c>
      <c r="G23" s="10">
        <f>IF(SUM('Balance Sheet'!G4:G5)&gt;0,'Profit &amp; Loss'!G12/SUM('Balance Sheet'!G4:G5),"")</f>
        <v>0.16770147250073414</v>
      </c>
      <c r="H23" s="10">
        <f>IF(SUM('Balance Sheet'!H4:H5)&gt;0,'Profit &amp; Loss'!H12/SUM('Balance Sheet'!H4:H5),"")</f>
        <v>0.18097878151688715</v>
      </c>
      <c r="I23" s="10">
        <f>IF(SUM('Balance Sheet'!I4:I5)&gt;0,'Profit &amp; Loss'!I12/SUM('Balance Sheet'!I4:I5),"")</f>
        <v>0.201176844783715</v>
      </c>
      <c r="J23" s="10">
        <f>IF(SUM('Balance Sheet'!J4:J5)&gt;0,'Profit &amp; Loss'!J12/SUM('Balance Sheet'!J4:J5),"")</f>
        <v>0.20065211449099926</v>
      </c>
      <c r="K23" s="10">
        <f>IF(SUM('Balance Sheet'!K4:K5)&gt;0,'Profit &amp; Loss'!K12/SUM('Balance Sheet'!K4:K5),"")</f>
        <v>0.21555807457187967</v>
      </c>
    </row>
    <row r="24" spans="1:11" s="2" customFormat="1" x14ac:dyDescent="0.35">
      <c r="A24" s="2" t="s">
        <v>60</v>
      </c>
      <c r="B24" s="10"/>
      <c r="C24" s="10">
        <f>IF((B4+B5+B6+C4+C5+C6)&gt;0,('Profit &amp; Loss'!C10+'Profit &amp; Loss'!C9)*2/(B4+B5+B6+C4+C5+C6),"")</f>
        <v>0.9443032459516375</v>
      </c>
      <c r="D24" s="10">
        <f>IF((C4+C5+C6+D4+D5+D6)&gt;0,('Profit &amp; Loss'!D10+'Profit &amp; Loss'!D9)*2/(C4+C5+C6+D4+D5+D6),"")</f>
        <v>1.0253111452943644</v>
      </c>
      <c r="E24" s="10">
        <f>IF((D4+D5+D6+E4+E5+E6)&gt;0,('Profit &amp; Loss'!E10+'Profit &amp; Loss'!E9)*2/(D4+D5+D6+E4+E5+E6),"")</f>
        <v>1.1329441857414573</v>
      </c>
      <c r="F24" s="10">
        <f>IF((E4+E5+E6+F4+F5+F6)&gt;0,('Profit &amp; Loss'!F10+'Profit &amp; Loss'!F9)*2/(E4+E5+E6+F4+F5+F6),"")</f>
        <v>1.1464032108675517</v>
      </c>
      <c r="G24" s="10">
        <f>IF((F4+F5+F6+G4+G5+G6)&gt;0,('Profit &amp; Loss'!G10+'Profit &amp; Loss'!G9)*2/(F4+F5+F6+G4+G5+G6),"")</f>
        <v>0.38359300931971452</v>
      </c>
      <c r="H24" s="10">
        <f>IF((G4+G5+G6+H4+H5+H6)&gt;0,('Profit &amp; Loss'!H10+'Profit &amp; Loss'!H9)*2/(G4+G5+G6+H4+H5+H6),"")</f>
        <v>0.2451471701200679</v>
      </c>
      <c r="I24" s="10">
        <f>IF((H4+H5+H6+I4+I5+I6)&gt;0,('Profit &amp; Loss'!I10+'Profit &amp; Loss'!I9)*2/(H4+H5+H6+I4+I5+I6),"")</f>
        <v>0.26485087624351794</v>
      </c>
      <c r="J24" s="10">
        <f>IF((I4+I5+I6+J4+J5+J6)&gt;0,('Profit &amp; Loss'!J10+'Profit &amp; Loss'!J9)*2/(I4+I5+I6+J4+J5+J6),"")</f>
        <v>0.27363876229311584</v>
      </c>
      <c r="K24" s="10">
        <f>IF((J4+J5+J6+K4+K5+K6)&gt;0,('Profit &amp; Loss'!K10+'Profit &amp; Loss'!K9)*2/(J4+J5+J6+K4+K5+K6),"")</f>
        <v>0.28548847251137327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6.81640625" bestFit="1" customWidth="1"/>
    <col min="2" max="6" width="13.453125" customWidth="1"/>
    <col min="7" max="11" width="13.453125" bestFit="1" customWidth="1"/>
  </cols>
  <sheetData>
    <row r="1" spans="1:11" s="2" customFormat="1" x14ac:dyDescent="0.35">
      <c r="A1" s="2" t="str">
        <f>'Balance Sheet'!A1</f>
        <v>HINDUSTAN UNILEVER LTD</v>
      </c>
      <c r="E1" t="str">
        <f>UPDATE</f>
        <v/>
      </c>
      <c r="F1"/>
      <c r="J1" s="2" t="s">
        <v>1</v>
      </c>
    </row>
    <row r="3" spans="1:11" s="2" customFormat="1" x14ac:dyDescent="0.35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5">
      <c r="A4" s="2" t="s">
        <v>32</v>
      </c>
      <c r="B4" s="1">
        <f>'Data Sheet'!B82</f>
        <v>4171</v>
      </c>
      <c r="C4" s="1">
        <f>'Data Sheet'!C82</f>
        <v>5185</v>
      </c>
      <c r="D4" s="1">
        <f>'Data Sheet'!D82</f>
        <v>6059</v>
      </c>
      <c r="E4" s="1">
        <f>'Data Sheet'!E82</f>
        <v>5800</v>
      </c>
      <c r="F4" s="1">
        <f>'Data Sheet'!F82</f>
        <v>7623</v>
      </c>
      <c r="G4" s="1">
        <f>'Data Sheet'!G82</f>
        <v>9163</v>
      </c>
      <c r="H4" s="1">
        <f>'Data Sheet'!H82</f>
        <v>9048</v>
      </c>
      <c r="I4" s="1">
        <f>'Data Sheet'!I82</f>
        <v>9991</v>
      </c>
      <c r="J4" s="1">
        <f>'Data Sheet'!J82</f>
        <v>15469</v>
      </c>
      <c r="K4" s="1">
        <f>'Data Sheet'!K82</f>
        <v>11886</v>
      </c>
    </row>
    <row r="5" spans="1:11" x14ac:dyDescent="0.35">
      <c r="A5" t="s">
        <v>33</v>
      </c>
      <c r="B5" s="6">
        <f>'Data Sheet'!B83</f>
        <v>-282</v>
      </c>
      <c r="C5" s="6">
        <f>'Data Sheet'!C83</f>
        <v>-1173</v>
      </c>
      <c r="D5" s="6">
        <f>'Data Sheet'!D83</f>
        <v>-1063</v>
      </c>
      <c r="E5" s="6">
        <f>'Data Sheet'!E83</f>
        <v>-438</v>
      </c>
      <c r="F5" s="6">
        <f>'Data Sheet'!F83</f>
        <v>1791</v>
      </c>
      <c r="G5" s="6">
        <f>'Data Sheet'!G83</f>
        <v>-1228</v>
      </c>
      <c r="H5" s="6">
        <f>'Data Sheet'!H83</f>
        <v>-1728</v>
      </c>
      <c r="I5" s="6">
        <f>'Data Sheet'!I83</f>
        <v>-1484</v>
      </c>
      <c r="J5" s="6">
        <f>'Data Sheet'!J83</f>
        <v>-5324</v>
      </c>
      <c r="K5" s="6">
        <f>'Data Sheet'!K83</f>
        <v>6473</v>
      </c>
    </row>
    <row r="6" spans="1:11" x14ac:dyDescent="0.35">
      <c r="A6" t="s">
        <v>34</v>
      </c>
      <c r="B6" s="6">
        <f>'Data Sheet'!B84</f>
        <v>-3864</v>
      </c>
      <c r="C6" s="6">
        <f>'Data Sheet'!C84</f>
        <v>-4214</v>
      </c>
      <c r="D6" s="6">
        <f>'Data Sheet'!D84</f>
        <v>-4975</v>
      </c>
      <c r="E6" s="6">
        <f>'Data Sheet'!E84</f>
        <v>-5390</v>
      </c>
      <c r="F6" s="6">
        <f>'Data Sheet'!F84</f>
        <v>-6819</v>
      </c>
      <c r="G6" s="6">
        <f>'Data Sheet'!G84</f>
        <v>-9309</v>
      </c>
      <c r="H6" s="6">
        <f>'Data Sheet'!H84</f>
        <v>-8015</v>
      </c>
      <c r="I6" s="6">
        <f>'Data Sheet'!I84</f>
        <v>-8953</v>
      </c>
      <c r="J6" s="6">
        <f>'Data Sheet'!J84</f>
        <v>-10034</v>
      </c>
      <c r="K6" s="6">
        <f>'Data Sheet'!K84</f>
        <v>-13101</v>
      </c>
    </row>
    <row r="7" spans="1:11" s="2" customFormat="1" x14ac:dyDescent="0.35">
      <c r="A7" s="2" t="s">
        <v>35</v>
      </c>
      <c r="B7" s="1">
        <f>'Data Sheet'!B85</f>
        <v>25</v>
      </c>
      <c r="C7" s="1">
        <f>'Data Sheet'!C85</f>
        <v>-202</v>
      </c>
      <c r="D7" s="1">
        <f>'Data Sheet'!D85</f>
        <v>21</v>
      </c>
      <c r="E7" s="1">
        <f>'Data Sheet'!E85</f>
        <v>-28</v>
      </c>
      <c r="F7" s="1">
        <f>'Data Sheet'!F85</f>
        <v>2595</v>
      </c>
      <c r="G7" s="1">
        <f>'Data Sheet'!G85</f>
        <v>-1374</v>
      </c>
      <c r="H7" s="1">
        <f>'Data Sheet'!H85</f>
        <v>-695</v>
      </c>
      <c r="I7" s="1">
        <f>'Data Sheet'!I85</f>
        <v>-446</v>
      </c>
      <c r="J7" s="1">
        <f>'Data Sheet'!J85</f>
        <v>111</v>
      </c>
      <c r="K7" s="1">
        <f>'Data Sheet'!K85</f>
        <v>5258</v>
      </c>
    </row>
    <row r="8" spans="1:11" x14ac:dyDescent="0.35">
      <c r="B8" s="6"/>
      <c r="C8" s="6"/>
      <c r="D8" s="6"/>
      <c r="E8" s="6"/>
      <c r="F8" s="6"/>
      <c r="G8" s="6"/>
      <c r="H8" s="6"/>
      <c r="I8" s="6"/>
      <c r="J8" s="6"/>
      <c r="K8" s="6"/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1640625" defaultRowHeight="14.5" x14ac:dyDescent="0.35"/>
  <cols>
    <col min="1" max="1" width="8.81640625" style="2"/>
    <col min="2" max="2" width="10.453125" customWidth="1"/>
    <col min="3" max="3" width="13.36328125" style="20" customWidth="1"/>
    <col min="6" max="6" width="6.81640625" customWidth="1"/>
  </cols>
  <sheetData>
    <row r="1" spans="1:7" ht="21" x14ac:dyDescent="0.5">
      <c r="A1" s="19" t="s">
        <v>56</v>
      </c>
    </row>
    <row r="3" spans="1:7" x14ac:dyDescent="0.35">
      <c r="A3" s="2" t="s">
        <v>48</v>
      </c>
    </row>
    <row r="4" spans="1:7" x14ac:dyDescent="0.35">
      <c r="B4" t="s">
        <v>90</v>
      </c>
    </row>
    <row r="5" spans="1:7" x14ac:dyDescent="0.35">
      <c r="B5" t="s">
        <v>49</v>
      </c>
    </row>
    <row r="7" spans="1:7" x14ac:dyDescent="0.35">
      <c r="A7" s="2" t="s">
        <v>50</v>
      </c>
    </row>
    <row r="8" spans="1:7" x14ac:dyDescent="0.35">
      <c r="B8" t="s">
        <v>51</v>
      </c>
      <c r="C8" s="21" t="s">
        <v>91</v>
      </c>
    </row>
    <row r="10" spans="1:7" x14ac:dyDescent="0.35">
      <c r="A10" s="2" t="s">
        <v>52</v>
      </c>
    </row>
    <row r="11" spans="1:7" x14ac:dyDescent="0.35">
      <c r="B11" t="s">
        <v>53</v>
      </c>
    </row>
    <row r="14" spans="1:7" x14ac:dyDescent="0.35">
      <c r="A14" s="2" t="s">
        <v>54</v>
      </c>
    </row>
    <row r="15" spans="1:7" x14ac:dyDescent="0.35">
      <c r="B15" t="s">
        <v>55</v>
      </c>
    </row>
    <row r="16" spans="1:7" x14ac:dyDescent="0.3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4DB5-66B5-4320-AEC6-0097B3A4D1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76A9-2C3B-4F99-8108-106E3418C56D}">
  <sheetPr>
    <tabColor rgb="FFFF0000"/>
  </sheetPr>
  <dimension ref="B2:N42"/>
  <sheetViews>
    <sheetView topLeftCell="A2" workbookViewId="0">
      <selection activeCell="E4" sqref="E4"/>
    </sheetView>
  </sheetViews>
  <sheetFormatPr defaultRowHeight="14.5" x14ac:dyDescent="0.35"/>
  <cols>
    <col min="2" max="2" width="49.453125" customWidth="1"/>
    <col min="3" max="5" width="16.08984375" customWidth="1"/>
    <col min="6" max="6" width="14.26953125" customWidth="1"/>
  </cols>
  <sheetData>
    <row r="2" spans="2:14" ht="15" thickBot="1" x14ac:dyDescent="0.4">
      <c r="C2" s="98">
        <v>42430</v>
      </c>
      <c r="D2" s="98">
        <v>42795</v>
      </c>
      <c r="E2" s="98">
        <v>43160</v>
      </c>
      <c r="F2" s="98">
        <v>43525</v>
      </c>
      <c r="G2" s="98">
        <v>43891</v>
      </c>
      <c r="H2" s="98">
        <v>44256</v>
      </c>
      <c r="I2" s="98">
        <v>44621</v>
      </c>
      <c r="J2" s="98">
        <v>44986</v>
      </c>
      <c r="K2" s="98">
        <v>45352</v>
      </c>
      <c r="L2" s="98">
        <f>K2+365</f>
        <v>45717</v>
      </c>
      <c r="M2" s="42">
        <v>45352</v>
      </c>
    </row>
    <row r="3" spans="2:14" ht="15" thickBot="1" x14ac:dyDescent="0.4">
      <c r="B3" s="99" t="s">
        <v>201</v>
      </c>
      <c r="C3" s="100">
        <v>4171</v>
      </c>
      <c r="D3" s="100">
        <v>5185</v>
      </c>
      <c r="E3" s="100">
        <v>6059</v>
      </c>
      <c r="F3" s="100">
        <v>5800</v>
      </c>
      <c r="G3" s="100">
        <v>7623</v>
      </c>
      <c r="H3" s="100">
        <v>9163</v>
      </c>
      <c r="I3" s="100">
        <v>9048</v>
      </c>
      <c r="J3" s="100">
        <v>9991</v>
      </c>
      <c r="K3" s="100">
        <v>15469</v>
      </c>
      <c r="L3" s="100">
        <v>11886</v>
      </c>
      <c r="M3" s="43">
        <v>35388</v>
      </c>
      <c r="N3" s="43">
        <v>67915</v>
      </c>
    </row>
    <row r="4" spans="2:14" x14ac:dyDescent="0.35">
      <c r="B4" s="101" t="s">
        <v>126</v>
      </c>
      <c r="C4" s="100">
        <v>6025</v>
      </c>
      <c r="D4" s="100">
        <v>6512</v>
      </c>
      <c r="E4" s="100">
        <v>7485</v>
      </c>
      <c r="F4" s="100">
        <v>8909</v>
      </c>
      <c r="G4" s="100">
        <v>9723</v>
      </c>
      <c r="H4" s="100">
        <v>11672</v>
      </c>
      <c r="I4" s="100">
        <v>12829</v>
      </c>
      <c r="J4" s="100">
        <v>14089</v>
      </c>
      <c r="K4" s="100">
        <v>14537</v>
      </c>
      <c r="L4" s="100">
        <v>14942</v>
      </c>
      <c r="M4" s="43">
        <v>41694</v>
      </c>
      <c r="N4" s="43">
        <v>65106</v>
      </c>
    </row>
    <row r="5" spans="2:14" x14ac:dyDescent="0.35">
      <c r="B5" s="102" t="s">
        <v>78</v>
      </c>
      <c r="C5" s="103">
        <v>-257</v>
      </c>
      <c r="D5" s="103">
        <v>173</v>
      </c>
      <c r="E5" s="103">
        <v>0</v>
      </c>
      <c r="F5" s="103">
        <v>0</v>
      </c>
      <c r="G5" s="103">
        <v>0</v>
      </c>
      <c r="H5" s="103">
        <v>0</v>
      </c>
      <c r="I5" s="103">
        <v>0</v>
      </c>
      <c r="J5" s="103">
        <v>0</v>
      </c>
      <c r="K5" s="103">
        <v>0</v>
      </c>
      <c r="L5" s="103">
        <v>0</v>
      </c>
      <c r="M5" s="44">
        <v>-2213</v>
      </c>
      <c r="N5" s="44">
        <v>-1875</v>
      </c>
    </row>
    <row r="6" spans="2:14" x14ac:dyDescent="0.35">
      <c r="B6" s="102" t="s">
        <v>45</v>
      </c>
      <c r="C6" s="103">
        <v>89</v>
      </c>
      <c r="D6" s="103">
        <v>37</v>
      </c>
      <c r="E6" s="103">
        <v>-146</v>
      </c>
      <c r="F6" s="103">
        <v>-195</v>
      </c>
      <c r="G6" s="103">
        <v>-331</v>
      </c>
      <c r="H6" s="103">
        <v>-543</v>
      </c>
      <c r="I6" s="103">
        <v>-758</v>
      </c>
      <c r="J6" s="103">
        <v>-339</v>
      </c>
      <c r="K6" s="103">
        <v>74</v>
      </c>
      <c r="L6" s="103">
        <v>-584</v>
      </c>
      <c r="M6" s="44">
        <v>-5665</v>
      </c>
      <c r="N6" s="44">
        <v>-7265</v>
      </c>
    </row>
    <row r="7" spans="2:14" x14ac:dyDescent="0.35">
      <c r="B7" s="102" t="s">
        <v>127</v>
      </c>
      <c r="C7" s="103">
        <v>164</v>
      </c>
      <c r="D7" s="103">
        <v>501</v>
      </c>
      <c r="E7" s="103">
        <v>0</v>
      </c>
      <c r="F7" s="103">
        <v>0</v>
      </c>
      <c r="G7" s="103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44">
        <v>6945</v>
      </c>
      <c r="N7" s="44">
        <v>13706</v>
      </c>
    </row>
    <row r="8" spans="2:14" x14ac:dyDescent="0.35">
      <c r="B8" s="102" t="s">
        <v>128</v>
      </c>
      <c r="C8" s="103">
        <v>0</v>
      </c>
      <c r="D8" s="103">
        <v>0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103">
        <v>0</v>
      </c>
      <c r="L8" s="103">
        <v>0</v>
      </c>
      <c r="M8" s="45">
        <v>0</v>
      </c>
      <c r="N8" s="45">
        <v>0</v>
      </c>
    </row>
    <row r="9" spans="2:14" ht="15" thickBot="1" x14ac:dyDescent="0.4">
      <c r="B9" s="102" t="s">
        <v>129</v>
      </c>
      <c r="C9" s="103">
        <v>-77</v>
      </c>
      <c r="D9" s="103">
        <v>-99</v>
      </c>
      <c r="E9" s="103">
        <v>982</v>
      </c>
      <c r="F9" s="103">
        <v>-147</v>
      </c>
      <c r="G9" s="103">
        <v>742</v>
      </c>
      <c r="H9" s="103">
        <v>442</v>
      </c>
      <c r="I9" s="103">
        <v>-242</v>
      </c>
      <c r="J9" s="103">
        <v>-621</v>
      </c>
      <c r="K9" s="104">
        <v>1239</v>
      </c>
      <c r="L9" s="103">
        <v>-204</v>
      </c>
      <c r="M9" s="44">
        <v>-2194</v>
      </c>
      <c r="N9" s="44">
        <v>2760</v>
      </c>
    </row>
    <row r="10" spans="2:14" x14ac:dyDescent="0.35">
      <c r="B10" s="101" t="s">
        <v>130</v>
      </c>
      <c r="C10" s="105">
        <v>-81</v>
      </c>
      <c r="D10" s="105">
        <v>566</v>
      </c>
      <c r="E10" s="105">
        <v>836</v>
      </c>
      <c r="F10" s="105">
        <v>-342</v>
      </c>
      <c r="G10" s="105">
        <v>411</v>
      </c>
      <c r="H10" s="105">
        <v>-101</v>
      </c>
      <c r="I10" s="100">
        <v>-1000</v>
      </c>
      <c r="J10" s="105">
        <v>-960</v>
      </c>
      <c r="K10" s="100">
        <v>1313</v>
      </c>
      <c r="L10" s="105">
        <v>-788</v>
      </c>
      <c r="M10" s="43">
        <v>-3127</v>
      </c>
      <c r="N10" s="43">
        <v>7325</v>
      </c>
    </row>
    <row r="11" spans="2:14" ht="15" thickBot="1" x14ac:dyDescent="0.4">
      <c r="B11" s="102" t="s">
        <v>131</v>
      </c>
      <c r="C11" s="104">
        <v>-1765</v>
      </c>
      <c r="D11" s="104">
        <v>-1859</v>
      </c>
      <c r="E11" s="104">
        <v>-2264</v>
      </c>
      <c r="F11" s="104">
        <v>-2767</v>
      </c>
      <c r="G11" s="104">
        <v>-2505</v>
      </c>
      <c r="H11" s="104">
        <v>-2407</v>
      </c>
      <c r="I11" s="104">
        <v>-2784</v>
      </c>
      <c r="J11" s="104">
        <v>-3138</v>
      </c>
      <c r="K11" s="103">
        <v>-381</v>
      </c>
      <c r="L11" s="104">
        <v>-2268</v>
      </c>
      <c r="M11" s="44">
        <v>-3179</v>
      </c>
      <c r="N11" s="44">
        <v>-4516</v>
      </c>
    </row>
    <row r="12" spans="2:14" x14ac:dyDescent="0.35">
      <c r="B12" s="102" t="s">
        <v>202</v>
      </c>
      <c r="C12" s="103">
        <v>-8</v>
      </c>
      <c r="D12" s="103">
        <v>-21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>
        <v>0</v>
      </c>
      <c r="K12" s="103">
        <v>0</v>
      </c>
      <c r="L12" s="103">
        <v>0</v>
      </c>
      <c r="M12" s="47">
        <v>-15417</v>
      </c>
      <c r="N12" s="47">
        <v>-22782</v>
      </c>
    </row>
    <row r="13" spans="2:14" ht="15" thickBot="1" x14ac:dyDescent="0.4">
      <c r="B13" s="102" t="s">
        <v>203</v>
      </c>
      <c r="C13" s="103">
        <v>0</v>
      </c>
      <c r="D13" s="103">
        <v>-13</v>
      </c>
      <c r="E13" s="103">
        <v>2</v>
      </c>
      <c r="F13" s="103">
        <v>0</v>
      </c>
      <c r="G13" s="103">
        <v>-6</v>
      </c>
      <c r="H13" s="103">
        <v>-1</v>
      </c>
      <c r="I13" s="103">
        <v>3</v>
      </c>
      <c r="J13" s="103">
        <v>0</v>
      </c>
      <c r="K13" s="103">
        <v>0</v>
      </c>
      <c r="L13" s="103">
        <v>0</v>
      </c>
      <c r="M13" s="48">
        <v>-19230</v>
      </c>
      <c r="N13" s="48">
        <v>-31414</v>
      </c>
    </row>
    <row r="14" spans="2:14" x14ac:dyDescent="0.35">
      <c r="B14" s="106" t="s">
        <v>204</v>
      </c>
      <c r="C14" s="107">
        <v>-282</v>
      </c>
      <c r="D14" s="108">
        <v>-1173</v>
      </c>
      <c r="E14" s="108">
        <v>-1063</v>
      </c>
      <c r="F14" s="107">
        <v>-438</v>
      </c>
      <c r="G14" s="108">
        <v>1791</v>
      </c>
      <c r="H14" s="108">
        <v>-1228</v>
      </c>
      <c r="I14" s="108">
        <v>-1728</v>
      </c>
      <c r="J14" s="108">
        <v>-1484</v>
      </c>
      <c r="K14" s="108">
        <v>-5324</v>
      </c>
      <c r="L14" s="108">
        <v>6473</v>
      </c>
      <c r="M14" s="49">
        <v>285</v>
      </c>
      <c r="N14" s="49">
        <v>231</v>
      </c>
    </row>
    <row r="15" spans="2:14" x14ac:dyDescent="0.35">
      <c r="B15" s="109" t="s">
        <v>132</v>
      </c>
      <c r="C15" s="110">
        <v>-810</v>
      </c>
      <c r="D15" s="111">
        <v>-1113</v>
      </c>
      <c r="E15" s="110">
        <v>-895</v>
      </c>
      <c r="F15" s="110">
        <v>-767</v>
      </c>
      <c r="G15" s="110">
        <v>-862</v>
      </c>
      <c r="H15" s="111">
        <v>-4163</v>
      </c>
      <c r="I15" s="111">
        <v>-1228</v>
      </c>
      <c r="J15" s="111">
        <v>-1192</v>
      </c>
      <c r="K15" s="111">
        <v>-1477</v>
      </c>
      <c r="L15" s="111">
        <v>-1275</v>
      </c>
      <c r="M15" s="49">
        <v>-50</v>
      </c>
      <c r="N15" s="49">
        <v>-74</v>
      </c>
    </row>
    <row r="16" spans="2:14" x14ac:dyDescent="0.35">
      <c r="B16" s="109" t="s">
        <v>133</v>
      </c>
      <c r="C16" s="110">
        <v>99</v>
      </c>
      <c r="D16" s="110">
        <v>176</v>
      </c>
      <c r="E16" s="110">
        <v>32</v>
      </c>
      <c r="F16" s="110">
        <v>13</v>
      </c>
      <c r="G16" s="110">
        <v>52</v>
      </c>
      <c r="H16" s="110">
        <v>97</v>
      </c>
      <c r="I16" s="110">
        <v>175</v>
      </c>
      <c r="J16" s="110">
        <v>181</v>
      </c>
      <c r="K16" s="110">
        <v>20</v>
      </c>
      <c r="L16" s="110">
        <v>13</v>
      </c>
      <c r="M16" s="48">
        <v>6895</v>
      </c>
      <c r="N16" s="48">
        <v>10820</v>
      </c>
    </row>
    <row r="17" spans="2:14" x14ac:dyDescent="0.35">
      <c r="B17" s="109" t="s">
        <v>134</v>
      </c>
      <c r="C17" s="111">
        <v>-20666</v>
      </c>
      <c r="D17" s="111">
        <v>-31214</v>
      </c>
      <c r="E17" s="111">
        <v>-51855</v>
      </c>
      <c r="F17" s="111">
        <v>-74365</v>
      </c>
      <c r="G17" s="111">
        <v>-36090</v>
      </c>
      <c r="H17" s="111">
        <v>-39920</v>
      </c>
      <c r="I17" s="111">
        <v>-48522</v>
      </c>
      <c r="J17" s="111">
        <v>-22649</v>
      </c>
      <c r="K17" s="111">
        <v>-21337</v>
      </c>
      <c r="L17" s="111">
        <v>-22957</v>
      </c>
      <c r="M17" s="49">
        <v>973</v>
      </c>
      <c r="N17" s="48">
        <v>2493</v>
      </c>
    </row>
    <row r="18" spans="2:14" x14ac:dyDescent="0.35">
      <c r="B18" s="109" t="s">
        <v>135</v>
      </c>
      <c r="C18" s="111">
        <v>20937</v>
      </c>
      <c r="D18" s="111">
        <v>30083</v>
      </c>
      <c r="E18" s="111">
        <v>52897</v>
      </c>
      <c r="F18" s="111">
        <v>74691</v>
      </c>
      <c r="G18" s="111">
        <v>37690</v>
      </c>
      <c r="H18" s="111">
        <v>38486</v>
      </c>
      <c r="I18" s="111">
        <v>47786</v>
      </c>
      <c r="J18" s="111">
        <v>23462</v>
      </c>
      <c r="K18" s="111">
        <v>19846</v>
      </c>
      <c r="L18" s="111">
        <v>23987</v>
      </c>
      <c r="M18" s="49">
        <v>46</v>
      </c>
      <c r="N18" s="49">
        <v>47</v>
      </c>
    </row>
    <row r="19" spans="2:14" x14ac:dyDescent="0.35">
      <c r="B19" s="109" t="s">
        <v>136</v>
      </c>
      <c r="C19" s="110">
        <v>315</v>
      </c>
      <c r="D19" s="110">
        <v>264</v>
      </c>
      <c r="E19" s="110">
        <v>297</v>
      </c>
      <c r="F19" s="110">
        <v>289</v>
      </c>
      <c r="G19" s="110">
        <v>351</v>
      </c>
      <c r="H19" s="110">
        <v>277</v>
      </c>
      <c r="I19" s="110">
        <v>161</v>
      </c>
      <c r="J19" s="110">
        <v>259</v>
      </c>
      <c r="K19" s="110">
        <v>425</v>
      </c>
      <c r="L19" s="110">
        <v>835</v>
      </c>
      <c r="M19" s="49">
        <v>0</v>
      </c>
      <c r="N19" s="49">
        <v>-150</v>
      </c>
    </row>
    <row r="20" spans="2:14" x14ac:dyDescent="0.35">
      <c r="B20" s="109" t="s">
        <v>137</v>
      </c>
      <c r="C20" s="110">
        <v>33</v>
      </c>
      <c r="D20" s="110">
        <v>14</v>
      </c>
      <c r="E20" s="110">
        <v>0</v>
      </c>
      <c r="F20" s="110">
        <v>1</v>
      </c>
      <c r="G20" s="110">
        <v>1</v>
      </c>
      <c r="H20" s="110">
        <v>1</v>
      </c>
      <c r="I20" s="110">
        <v>1</v>
      </c>
      <c r="J20" s="110">
        <v>2</v>
      </c>
      <c r="K20" s="110">
        <v>3</v>
      </c>
      <c r="L20" s="110">
        <v>0</v>
      </c>
      <c r="M20" s="49">
        <v>19</v>
      </c>
      <c r="N20" s="49">
        <v>108</v>
      </c>
    </row>
    <row r="21" spans="2:14" x14ac:dyDescent="0.35">
      <c r="B21" s="109" t="s">
        <v>205</v>
      </c>
      <c r="C21" s="110">
        <v>0</v>
      </c>
      <c r="D21" s="110">
        <v>0</v>
      </c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0">
        <v>0</v>
      </c>
      <c r="K21" s="110">
        <v>0</v>
      </c>
      <c r="L21" s="110">
        <v>0</v>
      </c>
      <c r="M21" s="49">
        <v>0</v>
      </c>
      <c r="N21" s="49">
        <v>0</v>
      </c>
    </row>
    <row r="22" spans="2:14" x14ac:dyDescent="0.35">
      <c r="B22" s="109" t="s">
        <v>206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49">
        <v>0</v>
      </c>
      <c r="N22" s="49">
        <v>-24</v>
      </c>
    </row>
    <row r="23" spans="2:14" ht="15" thickBot="1" x14ac:dyDescent="0.4">
      <c r="B23" s="109" t="s">
        <v>138</v>
      </c>
      <c r="C23" s="110">
        <v>161</v>
      </c>
      <c r="D23" s="110">
        <v>20</v>
      </c>
      <c r="E23" s="110">
        <v>73</v>
      </c>
      <c r="F23" s="110">
        <v>0</v>
      </c>
      <c r="G23" s="110">
        <v>0</v>
      </c>
      <c r="H23" s="110">
        <v>0</v>
      </c>
      <c r="I23" s="110">
        <v>0</v>
      </c>
      <c r="J23" s="110">
        <v>0</v>
      </c>
      <c r="K23" s="110">
        <v>0</v>
      </c>
      <c r="L23" s="110">
        <v>0</v>
      </c>
      <c r="M23" s="48">
        <v>-4357</v>
      </c>
      <c r="N23" s="48">
        <v>-4817</v>
      </c>
    </row>
    <row r="24" spans="2:14" x14ac:dyDescent="0.35">
      <c r="B24" s="109" t="s">
        <v>139</v>
      </c>
      <c r="C24" s="110">
        <v>0</v>
      </c>
      <c r="D24" s="110">
        <v>0</v>
      </c>
      <c r="E24" s="110">
        <v>0</v>
      </c>
      <c r="F24" s="110">
        <v>0</v>
      </c>
      <c r="G24" s="110">
        <v>0</v>
      </c>
      <c r="H24" s="110">
        <v>0</v>
      </c>
      <c r="I24" s="110">
        <v>0</v>
      </c>
      <c r="J24" s="110">
        <v>-334</v>
      </c>
      <c r="K24" s="110">
        <v>0</v>
      </c>
      <c r="L24" s="110">
        <v>0</v>
      </c>
      <c r="M24" s="43">
        <v>-26243</v>
      </c>
      <c r="N24" s="43">
        <v>-37006</v>
      </c>
    </row>
    <row r="25" spans="2:14" ht="15" thickBot="1" x14ac:dyDescent="0.4">
      <c r="B25" s="109" t="s">
        <v>140</v>
      </c>
      <c r="C25" s="110">
        <v>-351</v>
      </c>
      <c r="D25" s="110">
        <v>597</v>
      </c>
      <c r="E25" s="111">
        <v>-1612</v>
      </c>
      <c r="F25" s="110">
        <v>-300</v>
      </c>
      <c r="G25" s="110">
        <v>649</v>
      </c>
      <c r="H25" s="111">
        <v>3994</v>
      </c>
      <c r="I25" s="110">
        <v>-101</v>
      </c>
      <c r="J25" s="111">
        <v>-1213</v>
      </c>
      <c r="K25" s="111">
        <v>-2804</v>
      </c>
      <c r="L25" s="111">
        <v>5870</v>
      </c>
      <c r="M25" s="45">
        <v>20</v>
      </c>
      <c r="N25" s="45">
        <v>82</v>
      </c>
    </row>
    <row r="26" spans="2:14" x14ac:dyDescent="0.35">
      <c r="B26" s="99" t="s">
        <v>207</v>
      </c>
      <c r="C26" s="100">
        <v>-3864</v>
      </c>
      <c r="D26" s="100">
        <v>-4214</v>
      </c>
      <c r="E26" s="100">
        <v>-4975</v>
      </c>
      <c r="F26" s="100">
        <v>-5390</v>
      </c>
      <c r="G26" s="100">
        <v>-6819</v>
      </c>
      <c r="H26" s="100">
        <v>-9309</v>
      </c>
      <c r="I26" s="100">
        <v>-8015</v>
      </c>
      <c r="J26" s="100">
        <v>-8953</v>
      </c>
      <c r="K26" s="100">
        <v>-10034</v>
      </c>
      <c r="L26" s="100">
        <v>-13101</v>
      </c>
      <c r="M26" s="45">
        <v>0</v>
      </c>
      <c r="N26" s="45">
        <v>0</v>
      </c>
    </row>
    <row r="27" spans="2:14" x14ac:dyDescent="0.35">
      <c r="B27" s="102" t="s">
        <v>141</v>
      </c>
      <c r="C27" s="103">
        <v>0</v>
      </c>
      <c r="D27" s="103">
        <v>0</v>
      </c>
      <c r="E27" s="103">
        <v>0</v>
      </c>
      <c r="F27" s="103">
        <v>0</v>
      </c>
      <c r="G27" s="103">
        <v>0</v>
      </c>
      <c r="H27" s="103">
        <v>0</v>
      </c>
      <c r="I27" s="103">
        <v>0</v>
      </c>
      <c r="J27" s="103">
        <v>0</v>
      </c>
      <c r="K27" s="103">
        <v>0</v>
      </c>
      <c r="L27" s="103">
        <v>0</v>
      </c>
      <c r="M27" s="44">
        <v>43934</v>
      </c>
      <c r="N27" s="44">
        <v>18747</v>
      </c>
    </row>
    <row r="28" spans="2:14" x14ac:dyDescent="0.35">
      <c r="B28" s="102" t="s">
        <v>142</v>
      </c>
      <c r="C28" s="103">
        <v>177</v>
      </c>
      <c r="D28" s="103">
        <v>460</v>
      </c>
      <c r="E28" s="103">
        <v>0</v>
      </c>
      <c r="F28" s="103">
        <v>99</v>
      </c>
      <c r="G28" s="103">
        <v>0</v>
      </c>
      <c r="H28" s="103">
        <v>188</v>
      </c>
      <c r="I28" s="103">
        <v>55</v>
      </c>
      <c r="J28" s="103">
        <v>286</v>
      </c>
      <c r="K28" s="103">
        <v>0</v>
      </c>
      <c r="L28" s="103">
        <v>0</v>
      </c>
      <c r="M28" s="44">
        <v>-62557</v>
      </c>
      <c r="N28" s="44">
        <v>-47332</v>
      </c>
    </row>
    <row r="29" spans="2:14" x14ac:dyDescent="0.35">
      <c r="B29" s="102" t="s">
        <v>143</v>
      </c>
      <c r="C29" s="103">
        <v>0</v>
      </c>
      <c r="D29" s="103">
        <v>-360</v>
      </c>
      <c r="E29" s="103">
        <v>-277</v>
      </c>
      <c r="F29" s="103">
        <v>0</v>
      </c>
      <c r="G29" s="103">
        <v>-99</v>
      </c>
      <c r="H29" s="103">
        <v>-188</v>
      </c>
      <c r="I29" s="103">
        <v>-55</v>
      </c>
      <c r="J29" s="103">
        <v>-208</v>
      </c>
      <c r="K29" s="103">
        <v>-85</v>
      </c>
      <c r="L29" s="103">
        <v>0</v>
      </c>
      <c r="M29" s="44">
        <v>-9336</v>
      </c>
      <c r="N29" s="44">
        <v>-9332</v>
      </c>
    </row>
    <row r="30" spans="2:14" x14ac:dyDescent="0.35">
      <c r="B30" s="102" t="s">
        <v>144</v>
      </c>
      <c r="C30" s="103">
        <v>-2</v>
      </c>
      <c r="D30" s="103">
        <v>-14</v>
      </c>
      <c r="E30" s="103">
        <v>-6</v>
      </c>
      <c r="F30" s="103">
        <v>-7</v>
      </c>
      <c r="G30" s="103">
        <v>-90</v>
      </c>
      <c r="H30" s="103">
        <v>-92</v>
      </c>
      <c r="I30" s="103">
        <v>-82</v>
      </c>
      <c r="J30" s="103">
        <v>-88</v>
      </c>
      <c r="K30" s="103">
        <v>-110</v>
      </c>
      <c r="L30" s="103">
        <v>-130</v>
      </c>
      <c r="M30" s="45">
        <v>-141</v>
      </c>
      <c r="N30" s="44">
        <v>-1059</v>
      </c>
    </row>
    <row r="31" spans="2:14" x14ac:dyDescent="0.35">
      <c r="B31" s="102" t="s">
        <v>145</v>
      </c>
      <c r="C31" s="104">
        <v>-3354</v>
      </c>
      <c r="D31" s="104">
        <v>-3572</v>
      </c>
      <c r="E31" s="104">
        <v>-3911</v>
      </c>
      <c r="F31" s="104">
        <v>-4554</v>
      </c>
      <c r="G31" s="104">
        <v>-5196</v>
      </c>
      <c r="H31" s="104">
        <v>-8811</v>
      </c>
      <c r="I31" s="104">
        <v>-7526</v>
      </c>
      <c r="J31" s="104">
        <v>-8474</v>
      </c>
      <c r="K31" s="104">
        <v>-9416</v>
      </c>
      <c r="L31" s="104">
        <v>-12473</v>
      </c>
      <c r="M31" s="44">
        <v>-1517</v>
      </c>
      <c r="N31" s="44">
        <v>-1924</v>
      </c>
    </row>
    <row r="32" spans="2:14" ht="15" thickBot="1" x14ac:dyDescent="0.4">
      <c r="B32" s="102" t="s">
        <v>146</v>
      </c>
      <c r="C32" s="103">
        <v>0</v>
      </c>
      <c r="D32" s="103">
        <v>0</v>
      </c>
      <c r="E32" s="103">
        <v>0</v>
      </c>
      <c r="F32" s="103">
        <v>0</v>
      </c>
      <c r="G32" s="103">
        <v>-373</v>
      </c>
      <c r="H32" s="103">
        <v>-406</v>
      </c>
      <c r="I32" s="103">
        <v>-407</v>
      </c>
      <c r="J32" s="103">
        <v>-467</v>
      </c>
      <c r="K32" s="103">
        <v>-423</v>
      </c>
      <c r="L32" s="103">
        <v>-996</v>
      </c>
      <c r="M32" s="44">
        <v>3355</v>
      </c>
      <c r="N32" s="44">
        <v>3812</v>
      </c>
    </row>
    <row r="33" spans="2:14" ht="15" thickBot="1" x14ac:dyDescent="0.4">
      <c r="B33" s="102" t="s">
        <v>147</v>
      </c>
      <c r="C33" s="103">
        <v>-685</v>
      </c>
      <c r="D33" s="103">
        <v>-728</v>
      </c>
      <c r="E33" s="103">
        <v>-781</v>
      </c>
      <c r="F33" s="103">
        <v>-928</v>
      </c>
      <c r="G33" s="104">
        <v>-1061</v>
      </c>
      <c r="H33" s="103">
        <v>0</v>
      </c>
      <c r="I33" s="103">
        <v>0</v>
      </c>
      <c r="J33" s="103">
        <v>-2</v>
      </c>
      <c r="K33" s="103">
        <v>0</v>
      </c>
      <c r="L33" s="103">
        <v>498</v>
      </c>
      <c r="M33" s="47">
        <v>-6272</v>
      </c>
      <c r="N33" s="47">
        <v>8128</v>
      </c>
    </row>
    <row r="34" spans="2:14" x14ac:dyDescent="0.35">
      <c r="K34" s="107">
        <v>111</v>
      </c>
      <c r="L34" s="108">
        <v>5258</v>
      </c>
    </row>
    <row r="35" spans="2:14" x14ac:dyDescent="0.35">
      <c r="B35" s="51" t="s">
        <v>156</v>
      </c>
    </row>
    <row r="36" spans="2:14" x14ac:dyDescent="0.35">
      <c r="B36" s="52"/>
      <c r="C36" s="42">
        <v>41334</v>
      </c>
      <c r="D36" s="42">
        <v>41699</v>
      </c>
      <c r="E36" s="42">
        <v>42064</v>
      </c>
      <c r="F36" s="42">
        <v>42430</v>
      </c>
      <c r="G36" s="42">
        <v>42795</v>
      </c>
      <c r="H36" s="42">
        <v>43160</v>
      </c>
      <c r="I36" s="42">
        <v>43525</v>
      </c>
      <c r="J36" s="42">
        <v>43891</v>
      </c>
      <c r="K36" s="42">
        <v>44256</v>
      </c>
      <c r="L36" s="42">
        <v>44621</v>
      </c>
      <c r="M36" s="42">
        <v>44986</v>
      </c>
      <c r="N36" s="42">
        <v>45352</v>
      </c>
    </row>
    <row r="37" spans="2:14" x14ac:dyDescent="0.35">
      <c r="B37" s="53" t="s">
        <v>46</v>
      </c>
      <c r="C37" s="45">
        <v>21</v>
      </c>
      <c r="D37" s="45">
        <v>17</v>
      </c>
      <c r="E37" s="45">
        <v>17</v>
      </c>
      <c r="F37" s="45">
        <v>18</v>
      </c>
      <c r="G37" s="45">
        <v>19</v>
      </c>
      <c r="H37" s="45">
        <v>25</v>
      </c>
      <c r="I37" s="45">
        <v>23</v>
      </c>
      <c r="J37" s="45">
        <v>16</v>
      </c>
      <c r="K37" s="45">
        <v>19</v>
      </c>
      <c r="L37" s="45">
        <v>16</v>
      </c>
      <c r="M37" s="45">
        <v>17</v>
      </c>
      <c r="N37" s="45">
        <v>14</v>
      </c>
    </row>
    <row r="38" spans="2:14" x14ac:dyDescent="0.35">
      <c r="B38" s="54" t="s">
        <v>157</v>
      </c>
      <c r="C38" s="49">
        <v>64</v>
      </c>
      <c r="D38" s="49">
        <v>69</v>
      </c>
      <c r="E38" s="49">
        <v>67</v>
      </c>
      <c r="F38" s="49">
        <v>73</v>
      </c>
      <c r="G38" s="49">
        <v>77</v>
      </c>
      <c r="H38" s="49">
        <v>83</v>
      </c>
      <c r="I38" s="49">
        <v>73</v>
      </c>
      <c r="J38" s="49">
        <v>82</v>
      </c>
      <c r="K38" s="49">
        <v>83</v>
      </c>
      <c r="L38" s="49">
        <v>71</v>
      </c>
      <c r="M38" s="49">
        <v>66</v>
      </c>
      <c r="N38" s="49">
        <v>64</v>
      </c>
    </row>
    <row r="39" spans="2:14" ht="15" thickBot="1" x14ac:dyDescent="0.4">
      <c r="B39" s="53" t="s">
        <v>158</v>
      </c>
      <c r="C39" s="45">
        <v>137</v>
      </c>
      <c r="D39" s="45">
        <v>146</v>
      </c>
      <c r="E39" s="45">
        <v>131</v>
      </c>
      <c r="F39" s="45">
        <v>138</v>
      </c>
      <c r="G39" s="45">
        <v>138</v>
      </c>
      <c r="H39" s="45">
        <v>151</v>
      </c>
      <c r="I39" s="45">
        <v>133</v>
      </c>
      <c r="J39" s="45">
        <v>145</v>
      </c>
      <c r="K39" s="45">
        <v>175</v>
      </c>
      <c r="L39" s="45">
        <v>141</v>
      </c>
      <c r="M39" s="45">
        <v>128</v>
      </c>
      <c r="N39" s="45">
        <v>126</v>
      </c>
    </row>
    <row r="40" spans="2:14" x14ac:dyDescent="0.35">
      <c r="B40" s="46" t="s">
        <v>159</v>
      </c>
      <c r="C40" s="50">
        <v>-51</v>
      </c>
      <c r="D40" s="50">
        <v>-60</v>
      </c>
      <c r="E40" s="50">
        <v>-47</v>
      </c>
      <c r="F40" s="50">
        <v>-46</v>
      </c>
      <c r="G40" s="50">
        <v>-41</v>
      </c>
      <c r="H40" s="50">
        <v>-43</v>
      </c>
      <c r="I40" s="50">
        <v>-38</v>
      </c>
      <c r="J40" s="50">
        <v>-48</v>
      </c>
      <c r="K40" s="50">
        <v>-74</v>
      </c>
      <c r="L40" s="50">
        <v>-53</v>
      </c>
      <c r="M40" s="50">
        <v>-45</v>
      </c>
      <c r="N40" s="50">
        <v>-48</v>
      </c>
    </row>
    <row r="41" spans="2:14" x14ac:dyDescent="0.35">
      <c r="B41" s="53" t="s">
        <v>160</v>
      </c>
      <c r="C41" s="45">
        <v>-57</v>
      </c>
      <c r="D41" s="45">
        <v>-41</v>
      </c>
      <c r="E41" s="45">
        <v>-44</v>
      </c>
      <c r="F41" s="45">
        <v>-47</v>
      </c>
      <c r="G41" s="45">
        <v>-50</v>
      </c>
      <c r="H41" s="45">
        <v>-50</v>
      </c>
      <c r="I41" s="45">
        <v>-53</v>
      </c>
      <c r="J41" s="45">
        <v>-68</v>
      </c>
      <c r="K41" s="45">
        <v>-48</v>
      </c>
      <c r="L41" s="45">
        <v>-32</v>
      </c>
      <c r="M41" s="45">
        <v>-24</v>
      </c>
      <c r="N41" s="45">
        <v>-24</v>
      </c>
    </row>
    <row r="42" spans="2:14" x14ac:dyDescent="0.35">
      <c r="B42" s="54" t="s">
        <v>161</v>
      </c>
      <c r="C42" s="55">
        <v>0.21</v>
      </c>
      <c r="D42" s="55">
        <v>0.22</v>
      </c>
      <c r="E42" s="55">
        <v>0.21</v>
      </c>
      <c r="F42" s="55">
        <v>0.15</v>
      </c>
      <c r="G42" s="55">
        <v>0.09</v>
      </c>
      <c r="H42" s="55">
        <v>0.09</v>
      </c>
      <c r="I42" s="55">
        <v>0.02</v>
      </c>
      <c r="J42" s="55">
        <v>0</v>
      </c>
      <c r="K42" s="55">
        <v>0.06</v>
      </c>
      <c r="L42" s="55">
        <v>0.01</v>
      </c>
      <c r="M42" s="55">
        <v>0.06</v>
      </c>
      <c r="N42" s="55">
        <v>0.2</v>
      </c>
    </row>
  </sheetData>
  <hyperlinks>
    <hyperlink ref="B35" r:id="rId1" location="ratios" display="https://www.screener.in/company/TATAMOTORS/ - ratios" xr:uid="{48D05C44-07DD-44DB-B57B-2B7A1FC4D8E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2" sqref="B2"/>
    </sheetView>
  </sheetViews>
  <sheetFormatPr defaultColWidth="8.81640625" defaultRowHeight="14.5" x14ac:dyDescent="0.35"/>
  <cols>
    <col min="1" max="1" width="27.632812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63</v>
      </c>
      <c r="E1" s="215" t="str">
        <f>IF(B2&lt;&gt;B3, "A NEW VERSION OF THE WORKSHEET IS AVAILABLE", "")</f>
        <v/>
      </c>
      <c r="F1" s="215"/>
      <c r="G1" s="215"/>
      <c r="H1" s="215"/>
      <c r="I1" s="215"/>
      <c r="J1" s="215"/>
      <c r="K1" s="215"/>
    </row>
    <row r="2" spans="1:11" x14ac:dyDescent="0.35">
      <c r="A2" s="1" t="s">
        <v>61</v>
      </c>
      <c r="B2" s="4">
        <v>2.1</v>
      </c>
      <c r="E2" s="216" t="s">
        <v>36</v>
      </c>
      <c r="F2" s="216"/>
      <c r="G2" s="216"/>
      <c r="H2" s="216"/>
      <c r="I2" s="216"/>
      <c r="J2" s="216"/>
      <c r="K2" s="216"/>
    </row>
    <row r="3" spans="1:11" x14ac:dyDescent="0.35">
      <c r="A3" s="1" t="s">
        <v>62</v>
      </c>
      <c r="B3" s="4">
        <v>2.1</v>
      </c>
    </row>
    <row r="4" spans="1:11" x14ac:dyDescent="0.35">
      <c r="A4" s="1"/>
    </row>
    <row r="5" spans="1:11" x14ac:dyDescent="0.35">
      <c r="A5" s="1" t="s">
        <v>64</v>
      </c>
    </row>
    <row r="6" spans="1:11" x14ac:dyDescent="0.35">
      <c r="A6" s="4" t="s">
        <v>42</v>
      </c>
      <c r="B6" s="4">
        <f>IF(B9&gt;0, B9/B8, 0)</f>
        <v>234.95912259301213</v>
      </c>
    </row>
    <row r="7" spans="1:11" x14ac:dyDescent="0.35">
      <c r="A7" s="4" t="s">
        <v>31</v>
      </c>
      <c r="B7">
        <v>1</v>
      </c>
    </row>
    <row r="8" spans="1:11" x14ac:dyDescent="0.35">
      <c r="A8" s="4" t="s">
        <v>43</v>
      </c>
      <c r="B8">
        <v>2295.4</v>
      </c>
    </row>
    <row r="9" spans="1:11" x14ac:dyDescent="0.35">
      <c r="A9" s="4" t="s">
        <v>79</v>
      </c>
      <c r="B9">
        <v>539325.17000000004</v>
      </c>
    </row>
    <row r="15" spans="1:11" x14ac:dyDescent="0.35">
      <c r="A15" s="1" t="s">
        <v>37</v>
      </c>
    </row>
    <row r="16" spans="1:11" s="18" customFormat="1" x14ac:dyDescent="0.35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5">
      <c r="A17" s="6" t="s">
        <v>6</v>
      </c>
      <c r="B17">
        <v>32186</v>
      </c>
      <c r="C17">
        <v>33162</v>
      </c>
      <c r="D17">
        <v>35545</v>
      </c>
      <c r="E17">
        <v>39310</v>
      </c>
      <c r="F17">
        <v>39783</v>
      </c>
      <c r="G17">
        <v>47028</v>
      </c>
      <c r="H17">
        <v>52446</v>
      </c>
      <c r="I17">
        <v>60580</v>
      </c>
      <c r="J17">
        <v>61896</v>
      </c>
      <c r="K17">
        <v>63121</v>
      </c>
    </row>
    <row r="18" spans="1:11" s="6" customFormat="1" x14ac:dyDescent="0.35">
      <c r="A18" s="4" t="s">
        <v>80</v>
      </c>
      <c r="B18">
        <v>13184</v>
      </c>
      <c r="C18">
        <v>13606</v>
      </c>
      <c r="D18">
        <v>14233</v>
      </c>
      <c r="E18">
        <v>15845</v>
      </c>
      <c r="F18">
        <v>15697</v>
      </c>
      <c r="G18">
        <v>20141</v>
      </c>
      <c r="H18">
        <v>22871</v>
      </c>
      <c r="I18">
        <v>28427</v>
      </c>
      <c r="J18">
        <v>26822</v>
      </c>
      <c r="K18">
        <v>30731</v>
      </c>
    </row>
    <row r="19" spans="1:11" s="6" customFormat="1" x14ac:dyDescent="0.35">
      <c r="A19" s="4" t="s">
        <v>81</v>
      </c>
      <c r="B19">
        <v>-83</v>
      </c>
      <c r="C19">
        <v>-144</v>
      </c>
      <c r="D19">
        <v>72</v>
      </c>
      <c r="E19">
        <v>-12</v>
      </c>
      <c r="F19">
        <v>108</v>
      </c>
      <c r="G19">
        <v>405</v>
      </c>
      <c r="H19">
        <v>22</v>
      </c>
      <c r="I19">
        <v>75</v>
      </c>
      <c r="J19">
        <v>11</v>
      </c>
      <c r="K19">
        <v>153</v>
      </c>
    </row>
    <row r="20" spans="1:11" s="6" customFormat="1" x14ac:dyDescent="0.35">
      <c r="A20" s="4" t="s">
        <v>82</v>
      </c>
      <c r="B20">
        <v>309</v>
      </c>
      <c r="C20">
        <v>295</v>
      </c>
      <c r="D20">
        <v>295</v>
      </c>
      <c r="E20">
        <v>308</v>
      </c>
      <c r="F20">
        <v>299</v>
      </c>
      <c r="G20">
        <v>339</v>
      </c>
      <c r="H20">
        <v>318</v>
      </c>
      <c r="I20">
        <v>384</v>
      </c>
      <c r="J20">
        <v>446</v>
      </c>
      <c r="K20"/>
    </row>
    <row r="21" spans="1:11" s="6" customFormat="1" x14ac:dyDescent="0.35">
      <c r="A21" s="4" t="s">
        <v>83</v>
      </c>
      <c r="B21">
        <v>2966</v>
      </c>
      <c r="C21">
        <v>2887</v>
      </c>
      <c r="D21">
        <v>2998</v>
      </c>
      <c r="E21">
        <v>3041</v>
      </c>
      <c r="F21">
        <v>2906</v>
      </c>
      <c r="G21">
        <v>2868</v>
      </c>
      <c r="H21">
        <v>3354</v>
      </c>
      <c r="I21">
        <v>3791</v>
      </c>
      <c r="J21">
        <v>3385</v>
      </c>
      <c r="K21"/>
    </row>
    <row r="22" spans="1:11" s="6" customFormat="1" x14ac:dyDescent="0.35">
      <c r="A22" s="4" t="s">
        <v>84</v>
      </c>
      <c r="B22">
        <v>1680</v>
      </c>
      <c r="C22">
        <v>1743</v>
      </c>
      <c r="D22">
        <v>1860</v>
      </c>
      <c r="E22">
        <v>1875</v>
      </c>
      <c r="F22">
        <v>1820</v>
      </c>
      <c r="G22">
        <v>2358</v>
      </c>
      <c r="H22">
        <v>2545</v>
      </c>
      <c r="I22">
        <v>2854</v>
      </c>
      <c r="J22">
        <v>3009</v>
      </c>
      <c r="K22">
        <v>3077</v>
      </c>
    </row>
    <row r="23" spans="1:11" s="6" customFormat="1" x14ac:dyDescent="0.35">
      <c r="A23" s="4" t="s">
        <v>85</v>
      </c>
      <c r="B23">
        <v>6741</v>
      </c>
      <c r="C23">
        <v>6689</v>
      </c>
      <c r="D23">
        <v>7252</v>
      </c>
      <c r="E23">
        <v>7796</v>
      </c>
      <c r="F23">
        <v>7620</v>
      </c>
      <c r="G23">
        <v>7906</v>
      </c>
      <c r="H23">
        <v>8164</v>
      </c>
      <c r="I23">
        <v>8785</v>
      </c>
      <c r="J23">
        <v>10773</v>
      </c>
      <c r="K23">
        <v>6199</v>
      </c>
    </row>
    <row r="24" spans="1:11" s="6" customFormat="1" x14ac:dyDescent="0.35">
      <c r="A24" s="4" t="s">
        <v>86</v>
      </c>
      <c r="B24">
        <v>1313</v>
      </c>
      <c r="C24">
        <v>1470</v>
      </c>
      <c r="D24">
        <v>1480</v>
      </c>
      <c r="E24">
        <v>1553</v>
      </c>
      <c r="F24">
        <v>1688</v>
      </c>
      <c r="G24">
        <v>2195</v>
      </c>
      <c r="H24">
        <v>2359</v>
      </c>
      <c r="I24">
        <v>2267</v>
      </c>
      <c r="J24">
        <v>2813</v>
      </c>
      <c r="K24">
        <v>8424</v>
      </c>
    </row>
    <row r="25" spans="1:11" s="6" customFormat="1" x14ac:dyDescent="0.35">
      <c r="A25" s="6" t="s">
        <v>9</v>
      </c>
      <c r="B25">
        <v>486</v>
      </c>
      <c r="C25">
        <v>606</v>
      </c>
      <c r="D25">
        <v>353</v>
      </c>
      <c r="E25">
        <v>322</v>
      </c>
      <c r="F25">
        <v>424</v>
      </c>
      <c r="G25">
        <v>170</v>
      </c>
      <c r="H25">
        <v>219</v>
      </c>
      <c r="I25">
        <v>448</v>
      </c>
      <c r="J25">
        <v>817</v>
      </c>
      <c r="K25">
        <v>1322</v>
      </c>
    </row>
    <row r="26" spans="1:11" s="6" customFormat="1" x14ac:dyDescent="0.35">
      <c r="A26" s="6" t="s">
        <v>10</v>
      </c>
      <c r="B26">
        <v>353</v>
      </c>
      <c r="C26">
        <v>432</v>
      </c>
      <c r="D26">
        <v>520</v>
      </c>
      <c r="E26">
        <v>565</v>
      </c>
      <c r="F26">
        <v>1002</v>
      </c>
      <c r="G26">
        <v>1074</v>
      </c>
      <c r="H26">
        <v>1091</v>
      </c>
      <c r="I26">
        <v>1137</v>
      </c>
      <c r="J26">
        <v>1216</v>
      </c>
      <c r="K26">
        <v>1355</v>
      </c>
    </row>
    <row r="27" spans="1:11" s="6" customFormat="1" x14ac:dyDescent="0.35">
      <c r="A27" s="6" t="s">
        <v>11</v>
      </c>
      <c r="B27">
        <v>17</v>
      </c>
      <c r="C27">
        <v>35</v>
      </c>
      <c r="D27">
        <v>26</v>
      </c>
      <c r="E27">
        <v>33</v>
      </c>
      <c r="F27">
        <v>118</v>
      </c>
      <c r="G27">
        <v>117</v>
      </c>
      <c r="H27">
        <v>106</v>
      </c>
      <c r="I27">
        <v>114</v>
      </c>
      <c r="J27">
        <v>334</v>
      </c>
      <c r="K27">
        <v>395</v>
      </c>
    </row>
    <row r="28" spans="1:11" s="6" customFormat="1" x14ac:dyDescent="0.35">
      <c r="A28" s="6" t="s">
        <v>12</v>
      </c>
      <c r="B28">
        <v>6026</v>
      </c>
      <c r="C28">
        <v>6467</v>
      </c>
      <c r="D28">
        <v>7306</v>
      </c>
      <c r="E28">
        <v>8604</v>
      </c>
      <c r="F28">
        <v>9165</v>
      </c>
      <c r="G28">
        <v>10605</v>
      </c>
      <c r="H28">
        <v>11879</v>
      </c>
      <c r="I28">
        <v>13344</v>
      </c>
      <c r="J28">
        <v>13926</v>
      </c>
      <c r="K28">
        <v>14415</v>
      </c>
    </row>
    <row r="29" spans="1:11" s="6" customFormat="1" x14ac:dyDescent="0.35">
      <c r="A29" s="6" t="s">
        <v>13</v>
      </c>
      <c r="B29">
        <v>1875</v>
      </c>
      <c r="C29">
        <v>1977</v>
      </c>
      <c r="D29">
        <v>2079</v>
      </c>
      <c r="E29">
        <v>2544</v>
      </c>
      <c r="F29">
        <v>2409</v>
      </c>
      <c r="G29">
        <v>2606</v>
      </c>
      <c r="H29">
        <v>2987</v>
      </c>
      <c r="I29">
        <v>3201</v>
      </c>
      <c r="J29">
        <v>3644</v>
      </c>
      <c r="K29">
        <v>3744</v>
      </c>
    </row>
    <row r="30" spans="1:11" s="6" customFormat="1" x14ac:dyDescent="0.35">
      <c r="A30" s="6" t="s">
        <v>14</v>
      </c>
      <c r="B30">
        <v>4151</v>
      </c>
      <c r="C30">
        <v>4476</v>
      </c>
      <c r="D30">
        <v>5214</v>
      </c>
      <c r="E30">
        <v>6054</v>
      </c>
      <c r="F30">
        <v>6748</v>
      </c>
      <c r="G30">
        <v>7995</v>
      </c>
      <c r="H30">
        <v>8879</v>
      </c>
      <c r="I30">
        <v>10120</v>
      </c>
      <c r="J30">
        <v>10277</v>
      </c>
      <c r="K30">
        <v>10649</v>
      </c>
    </row>
    <row r="31" spans="1:11" s="6" customFormat="1" x14ac:dyDescent="0.35">
      <c r="A31" s="6" t="s">
        <v>70</v>
      </c>
      <c r="B31">
        <v>3456</v>
      </c>
      <c r="C31">
        <v>3672</v>
      </c>
      <c r="D31">
        <v>4320</v>
      </c>
      <c r="E31">
        <v>4752</v>
      </c>
      <c r="F31">
        <v>5400</v>
      </c>
      <c r="G31">
        <v>9517.5</v>
      </c>
      <c r="H31">
        <v>7990</v>
      </c>
      <c r="I31">
        <v>9165</v>
      </c>
      <c r="J31">
        <v>9870</v>
      </c>
      <c r="K31">
        <v>12455</v>
      </c>
    </row>
    <row r="32" spans="1:11" s="6" customFormat="1" x14ac:dyDescent="0.35"/>
    <row r="33" spans="1:11" x14ac:dyDescent="0.35">
      <c r="A33" s="6"/>
    </row>
    <row r="34" spans="1:11" x14ac:dyDescent="0.35">
      <c r="A34" s="6"/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39</v>
      </c>
    </row>
    <row r="41" spans="1:11" s="18" customFormat="1" x14ac:dyDescent="0.35">
      <c r="A41" s="17" t="s">
        <v>38</v>
      </c>
      <c r="B41" s="12">
        <v>44926</v>
      </c>
      <c r="C41" s="12">
        <v>45016</v>
      </c>
      <c r="D41" s="12">
        <v>45107</v>
      </c>
      <c r="E41" s="12">
        <v>45199</v>
      </c>
      <c r="F41" s="12">
        <v>45291</v>
      </c>
      <c r="G41" s="12">
        <v>45382</v>
      </c>
      <c r="H41" s="12">
        <v>45473</v>
      </c>
      <c r="I41" s="12">
        <v>45565</v>
      </c>
      <c r="J41" s="12">
        <v>45657</v>
      </c>
      <c r="K41" s="12">
        <v>45747</v>
      </c>
    </row>
    <row r="42" spans="1:11" s="6" customFormat="1" x14ac:dyDescent="0.35">
      <c r="A42" s="6" t="s">
        <v>6</v>
      </c>
      <c r="B42">
        <v>15597</v>
      </c>
      <c r="C42">
        <v>15215</v>
      </c>
      <c r="D42">
        <v>15496</v>
      </c>
      <c r="E42">
        <v>15623</v>
      </c>
      <c r="F42">
        <v>15567</v>
      </c>
      <c r="G42">
        <v>15210</v>
      </c>
      <c r="H42">
        <v>15707</v>
      </c>
      <c r="I42">
        <v>15926</v>
      </c>
      <c r="J42">
        <v>15818</v>
      </c>
      <c r="K42">
        <v>15670</v>
      </c>
    </row>
    <row r="43" spans="1:11" s="6" customFormat="1" x14ac:dyDescent="0.35">
      <c r="A43" s="6" t="s">
        <v>7</v>
      </c>
      <c r="B43">
        <v>11903</v>
      </c>
      <c r="C43">
        <v>11643</v>
      </c>
      <c r="D43">
        <v>11832</v>
      </c>
      <c r="E43">
        <v>11828</v>
      </c>
      <c r="F43">
        <v>11902</v>
      </c>
      <c r="G43">
        <v>11675</v>
      </c>
      <c r="H43">
        <v>11965</v>
      </c>
      <c r="I43">
        <v>12139</v>
      </c>
      <c r="J43">
        <v>12123</v>
      </c>
      <c r="K43">
        <v>12052</v>
      </c>
    </row>
    <row r="44" spans="1:11" s="6" customFormat="1" x14ac:dyDescent="0.35">
      <c r="A44" s="6" t="s">
        <v>9</v>
      </c>
      <c r="B44">
        <v>7</v>
      </c>
      <c r="C44">
        <v>240</v>
      </c>
      <c r="D44">
        <v>146</v>
      </c>
      <c r="E44">
        <v>178</v>
      </c>
      <c r="F44">
        <v>184</v>
      </c>
      <c r="G44">
        <v>309</v>
      </c>
      <c r="H44">
        <v>209</v>
      </c>
      <c r="I44">
        <v>203</v>
      </c>
      <c r="J44">
        <v>740</v>
      </c>
      <c r="K44">
        <v>171</v>
      </c>
    </row>
    <row r="45" spans="1:11" s="6" customFormat="1" x14ac:dyDescent="0.35">
      <c r="A45" s="6" t="s">
        <v>10</v>
      </c>
      <c r="B45">
        <v>293</v>
      </c>
      <c r="C45">
        <v>291</v>
      </c>
      <c r="D45">
        <v>286</v>
      </c>
      <c r="E45">
        <v>297</v>
      </c>
      <c r="F45">
        <v>313</v>
      </c>
      <c r="G45">
        <v>320</v>
      </c>
      <c r="H45">
        <v>329</v>
      </c>
      <c r="I45">
        <v>338</v>
      </c>
      <c r="J45">
        <v>341</v>
      </c>
      <c r="K45">
        <v>347</v>
      </c>
    </row>
    <row r="46" spans="1:11" s="6" customFormat="1" x14ac:dyDescent="0.35">
      <c r="A46" s="6" t="s">
        <v>11</v>
      </c>
      <c r="B46">
        <v>29</v>
      </c>
      <c r="C46">
        <v>29</v>
      </c>
      <c r="D46">
        <v>50</v>
      </c>
      <c r="E46">
        <v>88</v>
      </c>
      <c r="F46">
        <v>91</v>
      </c>
      <c r="G46">
        <v>105</v>
      </c>
      <c r="H46">
        <v>93</v>
      </c>
      <c r="I46">
        <v>110</v>
      </c>
      <c r="J46">
        <v>112</v>
      </c>
      <c r="K46">
        <v>80</v>
      </c>
    </row>
    <row r="47" spans="1:11" s="6" customFormat="1" x14ac:dyDescent="0.35">
      <c r="A47" s="6" t="s">
        <v>12</v>
      </c>
      <c r="B47">
        <v>3379</v>
      </c>
      <c r="C47">
        <v>3492</v>
      </c>
      <c r="D47">
        <v>3474</v>
      </c>
      <c r="E47">
        <v>3588</v>
      </c>
      <c r="F47">
        <v>3445</v>
      </c>
      <c r="G47">
        <v>3419</v>
      </c>
      <c r="H47">
        <v>3529</v>
      </c>
      <c r="I47">
        <v>3542</v>
      </c>
      <c r="J47">
        <v>3982</v>
      </c>
      <c r="K47">
        <v>3362</v>
      </c>
    </row>
    <row r="48" spans="1:11" s="6" customFormat="1" x14ac:dyDescent="0.35">
      <c r="A48" s="6" t="s">
        <v>13</v>
      </c>
      <c r="B48">
        <v>898</v>
      </c>
      <c r="C48">
        <v>891</v>
      </c>
      <c r="D48">
        <v>918</v>
      </c>
      <c r="E48">
        <v>931</v>
      </c>
      <c r="F48">
        <v>937</v>
      </c>
      <c r="G48">
        <v>858</v>
      </c>
      <c r="H48">
        <v>917</v>
      </c>
      <c r="I48">
        <v>947</v>
      </c>
      <c r="J48">
        <v>993</v>
      </c>
      <c r="K48">
        <v>887</v>
      </c>
    </row>
    <row r="49" spans="1:11" s="6" customFormat="1" x14ac:dyDescent="0.35">
      <c r="A49" s="6" t="s">
        <v>14</v>
      </c>
      <c r="B49">
        <v>2474</v>
      </c>
      <c r="C49">
        <v>2600</v>
      </c>
      <c r="D49">
        <v>2554</v>
      </c>
      <c r="E49">
        <v>2656</v>
      </c>
      <c r="F49">
        <v>2509</v>
      </c>
      <c r="G49">
        <v>2558</v>
      </c>
      <c r="H49">
        <v>2610</v>
      </c>
      <c r="I49">
        <v>2591</v>
      </c>
      <c r="J49">
        <v>2984</v>
      </c>
      <c r="K49">
        <v>2464</v>
      </c>
    </row>
    <row r="50" spans="1:11" x14ac:dyDescent="0.35">
      <c r="A50" s="6" t="s">
        <v>8</v>
      </c>
      <c r="B50">
        <v>3694</v>
      </c>
      <c r="C50">
        <v>3572</v>
      </c>
      <c r="D50">
        <v>3664</v>
      </c>
      <c r="E50">
        <v>3795</v>
      </c>
      <c r="F50">
        <v>3665</v>
      </c>
      <c r="G50">
        <v>3535</v>
      </c>
      <c r="H50">
        <v>3742</v>
      </c>
      <c r="I50">
        <v>3787</v>
      </c>
      <c r="J50">
        <v>3695</v>
      </c>
      <c r="K50">
        <v>3618</v>
      </c>
    </row>
    <row r="51" spans="1:11" x14ac:dyDescent="0.35">
      <c r="A51" s="6"/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40</v>
      </c>
    </row>
    <row r="56" spans="1:11" s="18" customFormat="1" x14ac:dyDescent="0.35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5">
      <c r="A57" s="6" t="s">
        <v>24</v>
      </c>
      <c r="B57">
        <v>216</v>
      </c>
      <c r="C57">
        <v>216</v>
      </c>
      <c r="D57">
        <v>216</v>
      </c>
      <c r="E57">
        <v>216</v>
      </c>
      <c r="F57">
        <v>216</v>
      </c>
      <c r="G57">
        <v>235</v>
      </c>
      <c r="H57">
        <v>235</v>
      </c>
      <c r="I57">
        <v>235</v>
      </c>
      <c r="J57">
        <v>235</v>
      </c>
      <c r="K57">
        <v>235</v>
      </c>
    </row>
    <row r="58" spans="1:11" x14ac:dyDescent="0.35">
      <c r="A58" s="6" t="s">
        <v>25</v>
      </c>
      <c r="B58">
        <v>6357</v>
      </c>
      <c r="C58">
        <v>6528</v>
      </c>
      <c r="D58">
        <v>7065</v>
      </c>
      <c r="E58">
        <v>7651</v>
      </c>
      <c r="F58">
        <v>8013</v>
      </c>
      <c r="G58">
        <v>47439</v>
      </c>
      <c r="H58">
        <v>48826</v>
      </c>
      <c r="I58">
        <v>50069</v>
      </c>
      <c r="J58">
        <v>50983</v>
      </c>
      <c r="K58">
        <v>49167</v>
      </c>
    </row>
    <row r="59" spans="1:11" x14ac:dyDescent="0.35">
      <c r="A59" s="6" t="s">
        <v>71</v>
      </c>
      <c r="B59">
        <v>177</v>
      </c>
      <c r="C59">
        <v>277</v>
      </c>
      <c r="D59"/>
      <c r="E59">
        <v>99</v>
      </c>
      <c r="F59"/>
      <c r="G59"/>
      <c r="H59">
        <v>1043</v>
      </c>
      <c r="I59">
        <v>1219</v>
      </c>
      <c r="J59">
        <v>1484</v>
      </c>
      <c r="K59">
        <v>1648</v>
      </c>
    </row>
    <row r="60" spans="1:11" x14ac:dyDescent="0.35">
      <c r="A60" s="6" t="s">
        <v>72</v>
      </c>
      <c r="B60">
        <v>8043</v>
      </c>
      <c r="C60">
        <v>8685</v>
      </c>
      <c r="D60">
        <v>10581</v>
      </c>
      <c r="E60">
        <v>10663</v>
      </c>
      <c r="F60">
        <v>11924</v>
      </c>
      <c r="G60">
        <v>21066</v>
      </c>
      <c r="H60">
        <v>20402</v>
      </c>
      <c r="I60">
        <v>21554</v>
      </c>
      <c r="J60">
        <v>25787</v>
      </c>
      <c r="K60">
        <v>28830</v>
      </c>
    </row>
    <row r="61" spans="1:11" s="1" customFormat="1" x14ac:dyDescent="0.35">
      <c r="A61" s="1" t="s">
        <v>26</v>
      </c>
      <c r="B61">
        <v>14793</v>
      </c>
      <c r="C61">
        <v>15706</v>
      </c>
      <c r="D61">
        <v>17862</v>
      </c>
      <c r="E61">
        <v>18629</v>
      </c>
      <c r="F61">
        <v>20153</v>
      </c>
      <c r="G61">
        <v>68740</v>
      </c>
      <c r="H61">
        <v>70506</v>
      </c>
      <c r="I61">
        <v>73077</v>
      </c>
      <c r="J61">
        <v>78489</v>
      </c>
      <c r="K61">
        <v>79880</v>
      </c>
    </row>
    <row r="62" spans="1:11" x14ac:dyDescent="0.35">
      <c r="A62" s="6" t="s">
        <v>27</v>
      </c>
      <c r="B62">
        <v>3258</v>
      </c>
      <c r="C62">
        <v>4419</v>
      </c>
      <c r="D62">
        <v>4528</v>
      </c>
      <c r="E62">
        <v>4715</v>
      </c>
      <c r="F62">
        <v>5479</v>
      </c>
      <c r="G62">
        <v>51443</v>
      </c>
      <c r="H62">
        <v>51473</v>
      </c>
      <c r="I62">
        <v>52678</v>
      </c>
      <c r="J62">
        <v>53744</v>
      </c>
      <c r="K62">
        <v>54335</v>
      </c>
    </row>
    <row r="63" spans="1:11" x14ac:dyDescent="0.35">
      <c r="A63" s="6" t="s">
        <v>28</v>
      </c>
      <c r="B63">
        <v>408</v>
      </c>
      <c r="C63">
        <v>229</v>
      </c>
      <c r="D63">
        <v>461</v>
      </c>
      <c r="E63">
        <v>406</v>
      </c>
      <c r="F63">
        <v>597</v>
      </c>
      <c r="G63">
        <v>745</v>
      </c>
      <c r="H63">
        <v>1313</v>
      </c>
      <c r="I63">
        <v>1132</v>
      </c>
      <c r="J63">
        <v>1025</v>
      </c>
      <c r="K63">
        <v>1009</v>
      </c>
    </row>
    <row r="64" spans="1:11" x14ac:dyDescent="0.35">
      <c r="A64" s="6" t="s">
        <v>29</v>
      </c>
      <c r="B64">
        <v>2592</v>
      </c>
      <c r="C64">
        <v>3794</v>
      </c>
      <c r="D64">
        <v>2873</v>
      </c>
      <c r="E64">
        <v>2716</v>
      </c>
      <c r="F64">
        <v>1255</v>
      </c>
      <c r="G64">
        <v>2709</v>
      </c>
      <c r="H64">
        <v>3521</v>
      </c>
      <c r="I64">
        <v>2882</v>
      </c>
      <c r="J64">
        <v>4625</v>
      </c>
      <c r="K64">
        <v>3810</v>
      </c>
    </row>
    <row r="65" spans="1:11" x14ac:dyDescent="0.35">
      <c r="A65" s="6" t="s">
        <v>73</v>
      </c>
      <c r="B65">
        <v>8535</v>
      </c>
      <c r="C65">
        <v>7264</v>
      </c>
      <c r="D65">
        <v>10000</v>
      </c>
      <c r="E65">
        <v>10792</v>
      </c>
      <c r="F65">
        <v>12822</v>
      </c>
      <c r="G65">
        <v>13843</v>
      </c>
      <c r="H65">
        <v>14199</v>
      </c>
      <c r="I65">
        <v>16385</v>
      </c>
      <c r="J65">
        <v>19095</v>
      </c>
      <c r="K65">
        <v>20726</v>
      </c>
    </row>
    <row r="66" spans="1:11" s="1" customFormat="1" x14ac:dyDescent="0.35">
      <c r="A66" s="1" t="s">
        <v>26</v>
      </c>
      <c r="B66">
        <v>14793</v>
      </c>
      <c r="C66">
        <v>15706</v>
      </c>
      <c r="D66">
        <v>17862</v>
      </c>
      <c r="E66">
        <v>18629</v>
      </c>
      <c r="F66">
        <v>20153</v>
      </c>
      <c r="G66">
        <v>68740</v>
      </c>
      <c r="H66">
        <v>70506</v>
      </c>
      <c r="I66">
        <v>73077</v>
      </c>
      <c r="J66">
        <v>78489</v>
      </c>
      <c r="K66">
        <v>79880</v>
      </c>
    </row>
    <row r="67" spans="1:11" s="6" customFormat="1" x14ac:dyDescent="0.35">
      <c r="A67" s="6" t="s">
        <v>78</v>
      </c>
      <c r="B67">
        <v>1264</v>
      </c>
      <c r="C67">
        <v>1085</v>
      </c>
      <c r="D67">
        <v>1310</v>
      </c>
      <c r="E67">
        <v>1816</v>
      </c>
      <c r="F67">
        <v>1149</v>
      </c>
      <c r="G67">
        <v>1758</v>
      </c>
      <c r="H67">
        <v>2236</v>
      </c>
      <c r="I67">
        <v>3079</v>
      </c>
      <c r="J67">
        <v>2997</v>
      </c>
      <c r="K67">
        <v>3819</v>
      </c>
    </row>
    <row r="68" spans="1:11" x14ac:dyDescent="0.35">
      <c r="A68" s="6" t="s">
        <v>45</v>
      </c>
      <c r="B68">
        <v>2726</v>
      </c>
      <c r="C68">
        <v>2541</v>
      </c>
      <c r="D68">
        <v>2513</v>
      </c>
      <c r="E68">
        <v>2574</v>
      </c>
      <c r="F68">
        <v>2767</v>
      </c>
      <c r="G68">
        <v>3579</v>
      </c>
      <c r="H68">
        <v>4096</v>
      </c>
      <c r="I68">
        <v>4251</v>
      </c>
      <c r="J68">
        <v>4022</v>
      </c>
      <c r="K68">
        <v>4415</v>
      </c>
    </row>
    <row r="69" spans="1:11" x14ac:dyDescent="0.35">
      <c r="A69" s="4" t="s">
        <v>87</v>
      </c>
      <c r="B69">
        <v>3009</v>
      </c>
      <c r="C69">
        <v>1828</v>
      </c>
      <c r="D69">
        <v>3485</v>
      </c>
      <c r="E69">
        <v>3757</v>
      </c>
      <c r="F69">
        <v>5113</v>
      </c>
      <c r="G69">
        <v>4471</v>
      </c>
      <c r="H69">
        <v>3846</v>
      </c>
      <c r="I69">
        <v>4678</v>
      </c>
      <c r="J69">
        <v>7559</v>
      </c>
      <c r="K69">
        <v>7554</v>
      </c>
    </row>
    <row r="70" spans="1:11" x14ac:dyDescent="0.35">
      <c r="A70" s="4" t="s">
        <v>74</v>
      </c>
      <c r="B70">
        <v>2163936971</v>
      </c>
      <c r="C70">
        <v>2164349639</v>
      </c>
      <c r="D70">
        <v>2164528777</v>
      </c>
      <c r="E70">
        <v>2164704405</v>
      </c>
      <c r="F70">
        <v>2164704405</v>
      </c>
      <c r="G70">
        <v>2349567819</v>
      </c>
      <c r="H70">
        <v>2349591262</v>
      </c>
      <c r="I70">
        <v>2349591262</v>
      </c>
      <c r="J70">
        <v>2349591262</v>
      </c>
      <c r="K70"/>
    </row>
    <row r="71" spans="1:11" x14ac:dyDescent="0.35">
      <c r="A71" s="4" t="s">
        <v>75</v>
      </c>
    </row>
    <row r="72" spans="1:11" x14ac:dyDescent="0.35">
      <c r="A72" s="4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5">
      <c r="A74" s="6"/>
    </row>
    <row r="75" spans="1:11" x14ac:dyDescent="0.35">
      <c r="A75" s="6"/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41</v>
      </c>
    </row>
    <row r="81" spans="1:11" s="18" customFormat="1" x14ac:dyDescent="0.35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5">
      <c r="A82" s="6" t="s">
        <v>32</v>
      </c>
      <c r="B82">
        <v>4171</v>
      </c>
      <c r="C82">
        <v>5185</v>
      </c>
      <c r="D82">
        <v>6059</v>
      </c>
      <c r="E82">
        <v>5800</v>
      </c>
      <c r="F82">
        <v>7623</v>
      </c>
      <c r="G82">
        <v>9163</v>
      </c>
      <c r="H82">
        <v>9048</v>
      </c>
      <c r="I82">
        <v>9991</v>
      </c>
      <c r="J82">
        <v>15469</v>
      </c>
      <c r="K82">
        <v>11886</v>
      </c>
    </row>
    <row r="83" spans="1:11" s="6" customFormat="1" x14ac:dyDescent="0.35">
      <c r="A83" s="6" t="s">
        <v>33</v>
      </c>
      <c r="B83">
        <v>-282</v>
      </c>
      <c r="C83">
        <v>-1173</v>
      </c>
      <c r="D83">
        <v>-1063</v>
      </c>
      <c r="E83">
        <v>-438</v>
      </c>
      <c r="F83">
        <v>1791</v>
      </c>
      <c r="G83">
        <v>-1228</v>
      </c>
      <c r="H83">
        <v>-1728</v>
      </c>
      <c r="I83">
        <v>-1484</v>
      </c>
      <c r="J83">
        <v>-5324</v>
      </c>
      <c r="K83">
        <v>6473</v>
      </c>
    </row>
    <row r="84" spans="1:11" s="6" customFormat="1" x14ac:dyDescent="0.35">
      <c r="A84" s="6" t="s">
        <v>34</v>
      </c>
      <c r="B84">
        <v>-3864</v>
      </c>
      <c r="C84">
        <v>-4214</v>
      </c>
      <c r="D84">
        <v>-4975</v>
      </c>
      <c r="E84">
        <v>-5390</v>
      </c>
      <c r="F84">
        <v>-6819</v>
      </c>
      <c r="G84">
        <v>-9309</v>
      </c>
      <c r="H84">
        <v>-8015</v>
      </c>
      <c r="I84">
        <v>-8953</v>
      </c>
      <c r="J84">
        <v>-10034</v>
      </c>
      <c r="K84">
        <v>-13101</v>
      </c>
    </row>
    <row r="85" spans="1:11" s="1" customFormat="1" x14ac:dyDescent="0.35">
      <c r="A85" s="6" t="s">
        <v>35</v>
      </c>
      <c r="B85">
        <v>25</v>
      </c>
      <c r="C85">
        <v>-202</v>
      </c>
      <c r="D85">
        <v>21</v>
      </c>
      <c r="E85">
        <v>-28</v>
      </c>
      <c r="F85">
        <v>2595</v>
      </c>
      <c r="G85">
        <v>-1374</v>
      </c>
      <c r="H85">
        <v>-695</v>
      </c>
      <c r="I85">
        <v>-446</v>
      </c>
      <c r="J85">
        <v>111</v>
      </c>
      <c r="K85">
        <v>5258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77</v>
      </c>
      <c r="B90">
        <v>869.5</v>
      </c>
      <c r="C90">
        <v>911.75</v>
      </c>
      <c r="D90">
        <v>1333.35</v>
      </c>
      <c r="E90">
        <v>1706.8</v>
      </c>
      <c r="F90">
        <v>2298.5</v>
      </c>
      <c r="G90">
        <v>2431.5</v>
      </c>
      <c r="H90">
        <v>2048.65</v>
      </c>
      <c r="I90">
        <v>2560.35</v>
      </c>
      <c r="J90">
        <v>2264.35</v>
      </c>
      <c r="K90">
        <v>2258.85</v>
      </c>
    </row>
    <row r="92" spans="1:11" s="1" customFormat="1" x14ac:dyDescent="0.35">
      <c r="A92" s="1" t="s">
        <v>76</v>
      </c>
    </row>
    <row r="93" spans="1:11" x14ac:dyDescent="0.35">
      <c r="A93" s="4" t="s">
        <v>89</v>
      </c>
      <c r="B93" s="24">
        <v>216.39</v>
      </c>
      <c r="C93" s="24">
        <v>216.43</v>
      </c>
      <c r="D93" s="24">
        <v>216.45</v>
      </c>
      <c r="E93" s="24">
        <v>216.47</v>
      </c>
      <c r="F93" s="24">
        <v>216.48</v>
      </c>
      <c r="G93" s="24">
        <v>234.96</v>
      </c>
      <c r="H93" s="24">
        <v>234.96</v>
      </c>
      <c r="I93" s="24">
        <v>234.96</v>
      </c>
      <c r="J93" s="24">
        <v>234.96</v>
      </c>
      <c r="K93" s="24">
        <v>234.96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29FD-E09E-4104-B4FB-D3A44432CCA8}">
  <sheetPr>
    <tabColor rgb="FFFF0000"/>
  </sheetPr>
  <dimension ref="A1:M34"/>
  <sheetViews>
    <sheetView topLeftCell="A18" workbookViewId="0">
      <selection activeCell="A30" sqref="A30"/>
    </sheetView>
  </sheetViews>
  <sheetFormatPr defaultRowHeight="14.5" x14ac:dyDescent="0.35"/>
  <cols>
    <col min="1" max="1" width="19.36328125" customWidth="1"/>
  </cols>
  <sheetData>
    <row r="1" spans="1:13" x14ac:dyDescent="0.35">
      <c r="B1" s="156">
        <v>41699</v>
      </c>
      <c r="C1" s="156">
        <v>42064</v>
      </c>
      <c r="D1" s="156">
        <v>42430</v>
      </c>
      <c r="E1" s="156">
        <v>42795</v>
      </c>
      <c r="F1" s="156">
        <v>43160</v>
      </c>
      <c r="G1" s="156">
        <v>43525</v>
      </c>
      <c r="H1" s="156">
        <v>43891</v>
      </c>
      <c r="I1" s="156">
        <v>44256</v>
      </c>
      <c r="J1" s="156">
        <v>44621</v>
      </c>
      <c r="K1" s="156">
        <v>44986</v>
      </c>
      <c r="L1" s="156">
        <v>45352</v>
      </c>
      <c r="M1" s="156">
        <v>45717</v>
      </c>
    </row>
    <row r="2" spans="1:13" x14ac:dyDescent="0.35">
      <c r="A2" s="157" t="s">
        <v>314</v>
      </c>
      <c r="B2" s="103">
        <v>216</v>
      </c>
      <c r="C2" s="103">
        <v>216</v>
      </c>
      <c r="D2" s="103">
        <v>216</v>
      </c>
      <c r="E2" s="103">
        <v>216</v>
      </c>
      <c r="F2" s="103">
        <v>216</v>
      </c>
      <c r="G2" s="103">
        <v>216</v>
      </c>
      <c r="H2" s="103">
        <v>216</v>
      </c>
      <c r="I2" s="103">
        <v>235</v>
      </c>
      <c r="J2" s="103">
        <v>235</v>
      </c>
      <c r="K2" s="103">
        <v>235</v>
      </c>
      <c r="L2" s="103">
        <v>235</v>
      </c>
      <c r="M2" s="103">
        <v>235</v>
      </c>
    </row>
    <row r="3" spans="1:13" ht="15" thickBot="1" x14ac:dyDescent="0.4">
      <c r="A3" s="158" t="s">
        <v>25</v>
      </c>
      <c r="B3" s="111">
        <v>3321</v>
      </c>
      <c r="C3" s="111">
        <v>3811</v>
      </c>
      <c r="D3" s="111">
        <v>6357</v>
      </c>
      <c r="E3" s="111">
        <v>6528</v>
      </c>
      <c r="F3" s="111">
        <v>7065</v>
      </c>
      <c r="G3" s="111">
        <v>7651</v>
      </c>
      <c r="H3" s="111">
        <v>8013</v>
      </c>
      <c r="I3" s="111">
        <v>47439</v>
      </c>
      <c r="J3" s="111">
        <v>48826</v>
      </c>
      <c r="K3" s="111">
        <v>50069</v>
      </c>
      <c r="L3" s="111">
        <v>50983</v>
      </c>
      <c r="M3" s="111">
        <v>49167</v>
      </c>
    </row>
    <row r="4" spans="1:13" x14ac:dyDescent="0.35">
      <c r="A4" s="159" t="s">
        <v>315</v>
      </c>
      <c r="B4" s="160">
        <v>46</v>
      </c>
      <c r="C4" s="160">
        <v>43</v>
      </c>
      <c r="D4" s="160">
        <v>177</v>
      </c>
      <c r="E4" s="160">
        <v>277</v>
      </c>
      <c r="F4" s="160">
        <v>0</v>
      </c>
      <c r="G4" s="160">
        <v>99</v>
      </c>
      <c r="H4" s="160">
        <v>0</v>
      </c>
      <c r="I4" s="160">
        <v>0</v>
      </c>
      <c r="J4" s="161">
        <v>1043</v>
      </c>
      <c r="K4" s="161">
        <v>1219</v>
      </c>
      <c r="L4" s="161">
        <v>1484</v>
      </c>
      <c r="M4" s="161">
        <v>1648</v>
      </c>
    </row>
    <row r="5" spans="1:13" x14ac:dyDescent="0.35">
      <c r="A5" s="102" t="s">
        <v>316</v>
      </c>
      <c r="B5" s="103">
        <v>8</v>
      </c>
      <c r="C5" s="103">
        <v>7</v>
      </c>
      <c r="D5" s="103">
        <v>0</v>
      </c>
      <c r="E5" s="103">
        <v>0</v>
      </c>
      <c r="F5" s="103">
        <v>0</v>
      </c>
      <c r="G5" s="103">
        <v>0</v>
      </c>
      <c r="H5" s="103">
        <v>0</v>
      </c>
      <c r="I5" s="103">
        <v>0</v>
      </c>
      <c r="J5" s="103">
        <v>0</v>
      </c>
      <c r="K5" s="103">
        <v>0</v>
      </c>
      <c r="L5" s="103">
        <v>0</v>
      </c>
      <c r="M5" s="103">
        <v>0</v>
      </c>
    </row>
    <row r="6" spans="1:13" x14ac:dyDescent="0.35">
      <c r="A6" s="102" t="s">
        <v>317</v>
      </c>
      <c r="B6" s="103">
        <v>37</v>
      </c>
      <c r="C6" s="103">
        <v>36</v>
      </c>
      <c r="D6" s="103">
        <v>177</v>
      </c>
      <c r="E6" s="103">
        <v>277</v>
      </c>
      <c r="F6" s="103">
        <v>0</v>
      </c>
      <c r="G6" s="103">
        <v>99</v>
      </c>
      <c r="H6" s="103">
        <v>0</v>
      </c>
      <c r="I6" s="103">
        <v>0</v>
      </c>
      <c r="J6" s="103">
        <v>0</v>
      </c>
      <c r="K6" s="103">
        <v>98</v>
      </c>
      <c r="L6" s="103">
        <v>13</v>
      </c>
      <c r="M6" s="103">
        <v>1</v>
      </c>
    </row>
    <row r="7" spans="1:13" ht="15" thickBot="1" x14ac:dyDescent="0.4">
      <c r="A7" s="102" t="s">
        <v>318</v>
      </c>
      <c r="B7" s="103">
        <v>0</v>
      </c>
      <c r="C7" s="103">
        <v>0</v>
      </c>
      <c r="D7" s="103">
        <v>0</v>
      </c>
      <c r="E7" s="103">
        <v>0</v>
      </c>
      <c r="F7" s="103">
        <v>0</v>
      </c>
      <c r="G7" s="103">
        <v>0</v>
      </c>
      <c r="H7" s="103">
        <v>0</v>
      </c>
      <c r="I7" s="103">
        <v>0</v>
      </c>
      <c r="J7" s="104">
        <v>1043</v>
      </c>
      <c r="K7" s="104">
        <v>1121</v>
      </c>
      <c r="L7" s="104">
        <v>1471</v>
      </c>
      <c r="M7" s="104">
        <v>1647</v>
      </c>
    </row>
    <row r="8" spans="1:13" x14ac:dyDescent="0.35">
      <c r="A8" s="162" t="s">
        <v>319</v>
      </c>
      <c r="B8" s="163">
        <v>10171</v>
      </c>
      <c r="C8" s="163">
        <v>10359</v>
      </c>
      <c r="D8" s="163">
        <v>8043</v>
      </c>
      <c r="E8" s="163">
        <v>8685</v>
      </c>
      <c r="F8" s="163">
        <v>10581</v>
      </c>
      <c r="G8" s="163">
        <v>10663</v>
      </c>
      <c r="H8" s="163">
        <v>11924</v>
      </c>
      <c r="I8" s="163">
        <v>21066</v>
      </c>
      <c r="J8" s="163">
        <v>20402</v>
      </c>
      <c r="K8" s="163">
        <v>21554</v>
      </c>
      <c r="L8" s="163">
        <v>25787</v>
      </c>
      <c r="M8" s="163">
        <v>28830</v>
      </c>
    </row>
    <row r="9" spans="1:13" x14ac:dyDescent="0.35">
      <c r="A9" s="109" t="s">
        <v>320</v>
      </c>
      <c r="B9" s="110">
        <v>22</v>
      </c>
      <c r="C9" s="110">
        <v>25</v>
      </c>
      <c r="D9" s="110">
        <v>20</v>
      </c>
      <c r="E9" s="110">
        <v>22</v>
      </c>
      <c r="F9" s="110">
        <v>20</v>
      </c>
      <c r="G9" s="110">
        <v>18</v>
      </c>
      <c r="H9" s="110">
        <v>17</v>
      </c>
      <c r="I9" s="110">
        <v>20</v>
      </c>
      <c r="J9" s="110">
        <v>26</v>
      </c>
      <c r="K9" s="110">
        <v>218</v>
      </c>
      <c r="L9" s="110">
        <v>205</v>
      </c>
      <c r="M9" s="110">
        <v>207</v>
      </c>
    </row>
    <row r="10" spans="1:13" x14ac:dyDescent="0.35">
      <c r="A10" s="109" t="s">
        <v>321</v>
      </c>
      <c r="B10" s="111">
        <v>5825</v>
      </c>
      <c r="C10" s="111">
        <v>5506</v>
      </c>
      <c r="D10" s="111">
        <v>5685</v>
      </c>
      <c r="E10" s="111">
        <v>6186</v>
      </c>
      <c r="F10" s="111">
        <v>7170</v>
      </c>
      <c r="G10" s="111">
        <v>7206</v>
      </c>
      <c r="H10" s="111">
        <v>7535</v>
      </c>
      <c r="I10" s="111">
        <v>8802</v>
      </c>
      <c r="J10" s="111">
        <v>9068</v>
      </c>
      <c r="K10" s="111">
        <v>9574</v>
      </c>
      <c r="L10" s="111">
        <v>10486</v>
      </c>
      <c r="M10" s="111">
        <v>11315</v>
      </c>
    </row>
    <row r="11" spans="1:13" x14ac:dyDescent="0.35">
      <c r="A11" s="109" t="s">
        <v>322</v>
      </c>
      <c r="B11" s="110">
        <v>37</v>
      </c>
      <c r="C11" s="110">
        <v>45</v>
      </c>
      <c r="D11" s="110">
        <v>45</v>
      </c>
      <c r="E11" s="110">
        <v>78</v>
      </c>
      <c r="F11" s="110">
        <v>62</v>
      </c>
      <c r="G11" s="110">
        <v>43</v>
      </c>
      <c r="H11" s="110">
        <v>158</v>
      </c>
      <c r="I11" s="110">
        <v>96</v>
      </c>
      <c r="J11" s="110">
        <v>119</v>
      </c>
      <c r="K11" s="110">
        <v>98</v>
      </c>
      <c r="L11" s="110">
        <v>91</v>
      </c>
      <c r="M11" s="110"/>
    </row>
    <row r="12" spans="1:13" ht="15" thickBot="1" x14ac:dyDescent="0.4">
      <c r="A12" s="109" t="s">
        <v>323</v>
      </c>
      <c r="B12" s="111">
        <v>4287</v>
      </c>
      <c r="C12" s="111">
        <v>4783</v>
      </c>
      <c r="D12" s="111">
        <v>2293</v>
      </c>
      <c r="E12" s="111">
        <v>2399</v>
      </c>
      <c r="F12" s="111">
        <v>3329</v>
      </c>
      <c r="G12" s="111">
        <v>3396</v>
      </c>
      <c r="H12" s="111">
        <v>4214</v>
      </c>
      <c r="I12" s="111">
        <v>12148</v>
      </c>
      <c r="J12" s="111">
        <v>11189</v>
      </c>
      <c r="K12" s="111">
        <v>11664</v>
      </c>
      <c r="L12" s="111">
        <v>15005</v>
      </c>
      <c r="M12" s="111">
        <v>17308</v>
      </c>
    </row>
    <row r="13" spans="1:13" ht="15" thickBot="1" x14ac:dyDescent="0.4">
      <c r="A13" s="159" t="s">
        <v>120</v>
      </c>
      <c r="B13" s="161">
        <v>13754</v>
      </c>
      <c r="C13" s="161">
        <v>14430</v>
      </c>
      <c r="D13" s="161">
        <v>14793</v>
      </c>
      <c r="E13" s="161">
        <v>15706</v>
      </c>
      <c r="F13" s="161">
        <v>17862</v>
      </c>
      <c r="G13" s="161">
        <v>18629</v>
      </c>
      <c r="H13" s="161">
        <v>20153</v>
      </c>
      <c r="I13" s="161">
        <v>68740</v>
      </c>
      <c r="J13" s="161">
        <v>70506</v>
      </c>
      <c r="K13" s="161">
        <v>73077</v>
      </c>
      <c r="L13" s="161">
        <v>78489</v>
      </c>
      <c r="M13" s="161">
        <v>79880</v>
      </c>
    </row>
    <row r="14" spans="1:13" x14ac:dyDescent="0.35">
      <c r="A14" s="162" t="s">
        <v>324</v>
      </c>
      <c r="B14" s="163">
        <v>2746</v>
      </c>
      <c r="C14" s="163">
        <v>2821</v>
      </c>
      <c r="D14" s="163">
        <v>3258</v>
      </c>
      <c r="E14" s="163">
        <v>4419</v>
      </c>
      <c r="F14" s="163">
        <v>4528</v>
      </c>
      <c r="G14" s="163">
        <v>4715</v>
      </c>
      <c r="H14" s="163">
        <v>5479</v>
      </c>
      <c r="I14" s="163">
        <v>51443</v>
      </c>
      <c r="J14" s="163">
        <v>51473</v>
      </c>
      <c r="K14" s="163">
        <v>52678</v>
      </c>
      <c r="L14" s="163">
        <v>53744</v>
      </c>
      <c r="M14" s="163">
        <v>54335</v>
      </c>
    </row>
    <row r="15" spans="1:13" x14ac:dyDescent="0.35">
      <c r="A15" s="109" t="s">
        <v>325</v>
      </c>
      <c r="B15" s="110">
        <v>133</v>
      </c>
      <c r="C15" s="110">
        <v>102</v>
      </c>
      <c r="D15" s="110">
        <v>88</v>
      </c>
      <c r="E15" s="110">
        <v>89</v>
      </c>
      <c r="F15" s="110">
        <v>87</v>
      </c>
      <c r="G15" s="110">
        <v>86</v>
      </c>
      <c r="H15" s="110">
        <v>59</v>
      </c>
      <c r="I15" s="110">
        <v>477</v>
      </c>
      <c r="J15" s="110">
        <v>477</v>
      </c>
      <c r="K15" s="110">
        <v>609</v>
      </c>
      <c r="L15" s="110">
        <v>618</v>
      </c>
      <c r="M15" s="110"/>
    </row>
    <row r="16" spans="1:13" x14ac:dyDescent="0.35">
      <c r="A16" s="109" t="s">
        <v>326</v>
      </c>
      <c r="B16" s="111">
        <v>1133</v>
      </c>
      <c r="C16" s="111">
        <v>1173</v>
      </c>
      <c r="D16" s="110">
        <v>931</v>
      </c>
      <c r="E16" s="111">
        <v>1210</v>
      </c>
      <c r="F16" s="111">
        <v>1343</v>
      </c>
      <c r="G16" s="111">
        <v>1527</v>
      </c>
      <c r="H16" s="111">
        <v>2044</v>
      </c>
      <c r="I16" s="111">
        <v>2602</v>
      </c>
      <c r="J16" s="111">
        <v>2788</v>
      </c>
      <c r="K16" s="111">
        <v>3101</v>
      </c>
      <c r="L16" s="111">
        <v>3518</v>
      </c>
      <c r="M16" s="110"/>
    </row>
    <row r="17" spans="1:13" x14ac:dyDescent="0.35">
      <c r="A17" s="109" t="s">
        <v>327</v>
      </c>
      <c r="B17" s="111">
        <v>3176</v>
      </c>
      <c r="C17" s="111">
        <v>3481</v>
      </c>
      <c r="D17" s="111">
        <v>2370</v>
      </c>
      <c r="E17" s="111">
        <v>3270</v>
      </c>
      <c r="F17" s="111">
        <v>3691</v>
      </c>
      <c r="G17" s="111">
        <v>4092</v>
      </c>
      <c r="H17" s="111">
        <v>5001</v>
      </c>
      <c r="I17" s="111">
        <v>6097</v>
      </c>
      <c r="J17" s="111">
        <v>6566</v>
      </c>
      <c r="K17" s="111">
        <v>7612</v>
      </c>
      <c r="L17" s="111">
        <v>8832</v>
      </c>
      <c r="M17" s="110"/>
    </row>
    <row r="18" spans="1:13" x14ac:dyDescent="0.35">
      <c r="A18" s="109" t="s">
        <v>328</v>
      </c>
      <c r="B18" s="110">
        <v>104</v>
      </c>
      <c r="C18" s="110">
        <v>106</v>
      </c>
      <c r="D18" s="110">
        <v>41</v>
      </c>
      <c r="E18" s="110">
        <v>62</v>
      </c>
      <c r="F18" s="110">
        <v>74</v>
      </c>
      <c r="G18" s="110">
        <v>95</v>
      </c>
      <c r="H18" s="110">
        <v>139</v>
      </c>
      <c r="I18" s="110">
        <v>175</v>
      </c>
      <c r="J18" s="110">
        <v>181</v>
      </c>
      <c r="K18" s="110">
        <v>185</v>
      </c>
      <c r="L18" s="110">
        <v>206</v>
      </c>
      <c r="M18" s="110"/>
    </row>
    <row r="19" spans="1:13" x14ac:dyDescent="0.35">
      <c r="A19" s="109" t="s">
        <v>329</v>
      </c>
      <c r="B19" s="110">
        <v>102</v>
      </c>
      <c r="C19" s="110">
        <v>108</v>
      </c>
      <c r="D19" s="110">
        <v>61</v>
      </c>
      <c r="E19" s="110">
        <v>66</v>
      </c>
      <c r="F19" s="110">
        <v>76</v>
      </c>
      <c r="G19" s="110">
        <v>88</v>
      </c>
      <c r="H19" s="110">
        <v>154</v>
      </c>
      <c r="I19" s="110">
        <v>156</v>
      </c>
      <c r="J19" s="110">
        <v>152</v>
      </c>
      <c r="K19" s="110">
        <v>161</v>
      </c>
      <c r="L19" s="110">
        <v>165</v>
      </c>
      <c r="M19" s="110"/>
    </row>
    <row r="20" spans="1:13" x14ac:dyDescent="0.35">
      <c r="A20" s="109" t="s">
        <v>330</v>
      </c>
      <c r="B20" s="110">
        <v>0</v>
      </c>
      <c r="C20" s="110">
        <v>0</v>
      </c>
      <c r="D20" s="110">
        <v>0</v>
      </c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0</v>
      </c>
      <c r="M20" s="110"/>
    </row>
    <row r="21" spans="1:13" x14ac:dyDescent="0.35">
      <c r="A21" s="109" t="s">
        <v>331</v>
      </c>
      <c r="B21" s="110">
        <v>2</v>
      </c>
      <c r="C21" s="110">
        <v>1</v>
      </c>
      <c r="D21" s="110">
        <v>0</v>
      </c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0">
        <v>0</v>
      </c>
      <c r="K21" s="110">
        <v>33</v>
      </c>
      <c r="L21" s="110">
        <v>37</v>
      </c>
      <c r="M21" s="110"/>
    </row>
    <row r="22" spans="1:13" x14ac:dyDescent="0.35">
      <c r="A22" s="109" t="s">
        <v>332</v>
      </c>
      <c r="B22" s="110">
        <v>247</v>
      </c>
      <c r="C22" s="110">
        <v>247</v>
      </c>
      <c r="D22" s="110">
        <v>85</v>
      </c>
      <c r="E22" s="110">
        <v>455</v>
      </c>
      <c r="F22" s="110">
        <v>455</v>
      </c>
      <c r="G22" s="110">
        <v>511</v>
      </c>
      <c r="H22" s="110">
        <v>511</v>
      </c>
      <c r="I22" s="111">
        <v>45262</v>
      </c>
      <c r="J22" s="111">
        <v>45262</v>
      </c>
      <c r="K22" s="111">
        <v>45692</v>
      </c>
      <c r="L22" s="111">
        <v>45692</v>
      </c>
      <c r="M22" s="111">
        <v>45710</v>
      </c>
    </row>
    <row r="23" spans="1:13" ht="15" thickBot="1" x14ac:dyDescent="0.4">
      <c r="A23" s="109" t="s">
        <v>333</v>
      </c>
      <c r="B23" s="110">
        <v>183</v>
      </c>
      <c r="C23" s="110">
        <v>193</v>
      </c>
      <c r="D23" s="110">
        <v>19</v>
      </c>
      <c r="E23" s="110">
        <v>19</v>
      </c>
      <c r="F23" s="110">
        <v>26</v>
      </c>
      <c r="G23" s="110">
        <v>60</v>
      </c>
      <c r="H23" s="110">
        <v>71</v>
      </c>
      <c r="I23" s="110">
        <v>155</v>
      </c>
      <c r="J23" s="110">
        <v>152</v>
      </c>
      <c r="K23" s="110">
        <v>171</v>
      </c>
      <c r="L23" s="110">
        <v>180</v>
      </c>
      <c r="M23" s="110"/>
    </row>
    <row r="24" spans="1:13" x14ac:dyDescent="0.35">
      <c r="A24" s="164" t="s">
        <v>334</v>
      </c>
      <c r="B24" s="163">
        <v>5079</v>
      </c>
      <c r="C24" s="163">
        <v>5412</v>
      </c>
      <c r="D24" s="163">
        <v>3595</v>
      </c>
      <c r="E24" s="163">
        <v>5171</v>
      </c>
      <c r="F24" s="163">
        <v>5752</v>
      </c>
      <c r="G24" s="163">
        <v>6459</v>
      </c>
      <c r="H24" s="163">
        <v>7979</v>
      </c>
      <c r="I24" s="163">
        <v>54924</v>
      </c>
      <c r="J24" s="163">
        <v>55578</v>
      </c>
      <c r="K24" s="163">
        <v>57564</v>
      </c>
      <c r="L24" s="163">
        <v>59248</v>
      </c>
      <c r="M24" s="165"/>
    </row>
    <row r="25" spans="1:13" x14ac:dyDescent="0.35">
      <c r="A25" s="109" t="s">
        <v>335</v>
      </c>
      <c r="B25" s="111">
        <v>2333</v>
      </c>
      <c r="C25" s="111">
        <v>2591</v>
      </c>
      <c r="D25" s="110">
        <v>337</v>
      </c>
      <c r="E25" s="110">
        <v>752</v>
      </c>
      <c r="F25" s="111">
        <v>1224</v>
      </c>
      <c r="G25" s="111">
        <v>1744</v>
      </c>
      <c r="H25" s="111">
        <v>2500</v>
      </c>
      <c r="I25" s="111">
        <v>3481</v>
      </c>
      <c r="J25" s="111">
        <v>4105</v>
      </c>
      <c r="K25" s="111">
        <v>4886</v>
      </c>
      <c r="L25" s="111">
        <v>5504</v>
      </c>
      <c r="M25" s="110"/>
    </row>
    <row r="26" spans="1:13" x14ac:dyDescent="0.35">
      <c r="A26" s="157" t="s">
        <v>336</v>
      </c>
      <c r="B26" s="103">
        <v>373</v>
      </c>
      <c r="C26" s="103">
        <v>516</v>
      </c>
      <c r="D26" s="103">
        <v>408</v>
      </c>
      <c r="E26" s="103">
        <v>229</v>
      </c>
      <c r="F26" s="103">
        <v>461</v>
      </c>
      <c r="G26" s="103">
        <v>406</v>
      </c>
      <c r="H26" s="103">
        <v>597</v>
      </c>
      <c r="I26" s="103">
        <v>745</v>
      </c>
      <c r="J26" s="104">
        <v>1313</v>
      </c>
      <c r="K26" s="104">
        <v>1132</v>
      </c>
      <c r="L26" s="104">
        <v>1025</v>
      </c>
      <c r="M26" s="104">
        <v>1009</v>
      </c>
    </row>
    <row r="27" spans="1:13" ht="15" thickBot="1" x14ac:dyDescent="0.4">
      <c r="A27" s="158" t="s">
        <v>29</v>
      </c>
      <c r="B27" s="111">
        <v>2838</v>
      </c>
      <c r="C27" s="111">
        <v>3025</v>
      </c>
      <c r="D27" s="111">
        <v>2592</v>
      </c>
      <c r="E27" s="111">
        <v>3794</v>
      </c>
      <c r="F27" s="111">
        <v>2873</v>
      </c>
      <c r="G27" s="111">
        <v>2716</v>
      </c>
      <c r="H27" s="111">
        <v>1255</v>
      </c>
      <c r="I27" s="111">
        <v>2709</v>
      </c>
      <c r="J27" s="111">
        <v>3521</v>
      </c>
      <c r="K27" s="111">
        <v>2882</v>
      </c>
      <c r="L27" s="111">
        <v>4625</v>
      </c>
      <c r="M27" s="111">
        <v>3810</v>
      </c>
    </row>
    <row r="28" spans="1:13" x14ac:dyDescent="0.35">
      <c r="A28" s="159" t="s">
        <v>337</v>
      </c>
      <c r="B28" s="161">
        <v>7797</v>
      </c>
      <c r="C28" s="161">
        <v>8067</v>
      </c>
      <c r="D28" s="161">
        <v>8535</v>
      </c>
      <c r="E28" s="161">
        <v>7264</v>
      </c>
      <c r="F28" s="161">
        <v>10000</v>
      </c>
      <c r="G28" s="161">
        <v>10792</v>
      </c>
      <c r="H28" s="161">
        <v>12822</v>
      </c>
      <c r="I28" s="161">
        <v>13843</v>
      </c>
      <c r="J28" s="161">
        <v>14199</v>
      </c>
      <c r="K28" s="161">
        <v>16385</v>
      </c>
      <c r="L28" s="161">
        <v>19095</v>
      </c>
      <c r="M28" s="161">
        <v>20726</v>
      </c>
    </row>
    <row r="29" spans="1:13" x14ac:dyDescent="0.35">
      <c r="A29" s="102" t="s">
        <v>338</v>
      </c>
      <c r="B29" s="104">
        <v>2940</v>
      </c>
      <c r="C29" s="104">
        <v>2849</v>
      </c>
      <c r="D29" s="104">
        <v>2726</v>
      </c>
      <c r="E29" s="104">
        <v>2541</v>
      </c>
      <c r="F29" s="104">
        <v>2513</v>
      </c>
      <c r="G29" s="104">
        <v>2574</v>
      </c>
      <c r="H29" s="104">
        <v>2767</v>
      </c>
      <c r="I29" s="104">
        <v>3579</v>
      </c>
      <c r="J29" s="104">
        <v>4096</v>
      </c>
      <c r="K29" s="104">
        <v>4251</v>
      </c>
      <c r="L29" s="104">
        <v>4022</v>
      </c>
      <c r="M29" s="104">
        <v>4415</v>
      </c>
    </row>
    <row r="30" spans="1:13" x14ac:dyDescent="0.35">
      <c r="A30" s="102" t="s">
        <v>344</v>
      </c>
      <c r="B30" s="104">
        <v>1017</v>
      </c>
      <c r="C30" s="104">
        <v>1010</v>
      </c>
      <c r="D30" s="104">
        <v>1264</v>
      </c>
      <c r="E30" s="104">
        <v>1085</v>
      </c>
      <c r="F30" s="104">
        <v>1310</v>
      </c>
      <c r="G30" s="104">
        <v>1816</v>
      </c>
      <c r="H30" s="104">
        <v>1149</v>
      </c>
      <c r="I30" s="104">
        <v>1758</v>
      </c>
      <c r="J30" s="104">
        <v>2236</v>
      </c>
      <c r="K30" s="104">
        <v>3079</v>
      </c>
      <c r="L30" s="104">
        <v>2997</v>
      </c>
      <c r="M30" s="104">
        <v>3819</v>
      </c>
    </row>
    <row r="31" spans="1:13" x14ac:dyDescent="0.35">
      <c r="A31" s="102" t="s">
        <v>339</v>
      </c>
      <c r="B31" s="104">
        <v>2516</v>
      </c>
      <c r="C31" s="104">
        <v>2689</v>
      </c>
      <c r="D31" s="104">
        <v>3009</v>
      </c>
      <c r="E31" s="104">
        <v>1828</v>
      </c>
      <c r="F31" s="104">
        <v>3485</v>
      </c>
      <c r="G31" s="104">
        <v>3757</v>
      </c>
      <c r="H31" s="104">
        <v>5113</v>
      </c>
      <c r="I31" s="104">
        <v>4471</v>
      </c>
      <c r="J31" s="104">
        <v>3846</v>
      </c>
      <c r="K31" s="104">
        <v>4678</v>
      </c>
      <c r="L31" s="104">
        <v>7559</v>
      </c>
      <c r="M31" s="104">
        <v>7554</v>
      </c>
    </row>
    <row r="32" spans="1:13" x14ac:dyDescent="0.35">
      <c r="A32" s="102" t="s">
        <v>340</v>
      </c>
      <c r="B32" s="103">
        <v>0</v>
      </c>
      <c r="C32" s="103">
        <v>0</v>
      </c>
      <c r="D32" s="103">
        <v>0</v>
      </c>
      <c r="E32" s="103">
        <v>71</v>
      </c>
      <c r="F32" s="103">
        <v>40</v>
      </c>
      <c r="G32" s="103">
        <v>26</v>
      </c>
      <c r="H32" s="103">
        <v>19</v>
      </c>
      <c r="I32" s="103">
        <v>78</v>
      </c>
      <c r="J32" s="103">
        <v>170</v>
      </c>
      <c r="K32" s="103">
        <v>188</v>
      </c>
      <c r="L32" s="103">
        <v>172</v>
      </c>
      <c r="M32" s="103">
        <v>896</v>
      </c>
    </row>
    <row r="33" spans="1:13" ht="15" thickBot="1" x14ac:dyDescent="0.4">
      <c r="A33" s="102" t="s">
        <v>341</v>
      </c>
      <c r="B33" s="104">
        <v>1324</v>
      </c>
      <c r="C33" s="104">
        <v>1519</v>
      </c>
      <c r="D33" s="104">
        <v>1536</v>
      </c>
      <c r="E33" s="104">
        <v>1739</v>
      </c>
      <c r="F33" s="104">
        <v>2652</v>
      </c>
      <c r="G33" s="104">
        <v>2619</v>
      </c>
      <c r="H33" s="104">
        <v>3774</v>
      </c>
      <c r="I33" s="104">
        <v>3957</v>
      </c>
      <c r="J33" s="104">
        <v>3851</v>
      </c>
      <c r="K33" s="104">
        <v>4189</v>
      </c>
      <c r="L33" s="104">
        <v>4345</v>
      </c>
      <c r="M33" s="104">
        <v>4042</v>
      </c>
    </row>
    <row r="34" spans="1:13" x14ac:dyDescent="0.35">
      <c r="A34" s="162" t="s">
        <v>342</v>
      </c>
      <c r="B34" s="163">
        <v>13754</v>
      </c>
      <c r="C34" s="163">
        <v>14430</v>
      </c>
      <c r="D34" s="163">
        <v>14793</v>
      </c>
      <c r="E34" s="163">
        <v>15706</v>
      </c>
      <c r="F34" s="163">
        <v>17862</v>
      </c>
      <c r="G34" s="163">
        <v>18629</v>
      </c>
      <c r="H34" s="163">
        <v>20153</v>
      </c>
      <c r="I34" s="163">
        <v>68740</v>
      </c>
      <c r="J34" s="163">
        <v>70506</v>
      </c>
      <c r="K34" s="163">
        <v>73077</v>
      </c>
      <c r="L34" s="163">
        <v>78489</v>
      </c>
      <c r="M34" s="163">
        <v>79880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F984-8E0B-4320-9F33-518065E5C93E}">
  <sheetPr>
    <tabColor rgb="FF002060"/>
  </sheetPr>
  <dimension ref="A2:N106"/>
  <sheetViews>
    <sheetView showGridLines="0" zoomScale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8" sqref="N18"/>
    </sheetView>
  </sheetViews>
  <sheetFormatPr defaultRowHeight="14.5" outlineLevelRow="1" x14ac:dyDescent="0.35"/>
  <cols>
    <col min="1" max="1" width="1.81640625" customWidth="1"/>
    <col min="2" max="2" width="24.7265625" customWidth="1"/>
    <col min="3" max="3" width="15" customWidth="1"/>
    <col min="4" max="4" width="15.08984375" customWidth="1"/>
    <col min="5" max="5" width="13.6328125" customWidth="1"/>
    <col min="6" max="6" width="13.81640625" customWidth="1"/>
    <col min="7" max="14" width="12.6328125" customWidth="1"/>
  </cols>
  <sheetData>
    <row r="2" spans="1:14" x14ac:dyDescent="0.35">
      <c r="B2" s="217" t="str">
        <f>"Historical financials" &amp;" - "&amp; 'Data Sheet'!B1</f>
        <v>Historical financials - HINDUSTAN UNILEVER LTD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</row>
    <row r="3" spans="1:14" x14ac:dyDescent="0.35">
      <c r="B3" s="25" t="s">
        <v>93</v>
      </c>
      <c r="C3" s="41">
        <f>'Data Sheet'!B16</f>
        <v>42460</v>
      </c>
      <c r="D3" s="41">
        <f>'Data Sheet'!C16</f>
        <v>42825</v>
      </c>
      <c r="E3" s="41">
        <f>'Data Sheet'!D16</f>
        <v>43190</v>
      </c>
      <c r="F3" s="41">
        <f>'Data Sheet'!E16</f>
        <v>43555</v>
      </c>
      <c r="G3" s="26">
        <f>'Data Sheet'!F16</f>
        <v>43921</v>
      </c>
      <c r="H3" s="26">
        <f>'Data Sheet'!G16</f>
        <v>44286</v>
      </c>
      <c r="I3" s="26">
        <f>'Data Sheet'!H16</f>
        <v>44651</v>
      </c>
      <c r="J3" s="26">
        <f>'Data Sheet'!I16</f>
        <v>45016</v>
      </c>
      <c r="K3" s="26">
        <f>'Data Sheet'!J16</f>
        <v>45382</v>
      </c>
      <c r="L3" s="26">
        <f>'Data Sheet'!K16</f>
        <v>45747</v>
      </c>
      <c r="M3" s="26" t="s">
        <v>94</v>
      </c>
      <c r="N3" s="26"/>
    </row>
    <row r="4" spans="1:14" x14ac:dyDescent="0.35">
      <c r="B4" s="35"/>
      <c r="C4" s="35"/>
      <c r="D4" s="35"/>
      <c r="E4" s="35"/>
      <c r="F4" s="35"/>
      <c r="G4" s="36"/>
      <c r="H4" s="36"/>
      <c r="I4" s="36"/>
      <c r="J4" s="36"/>
      <c r="K4" s="36"/>
      <c r="L4" s="36"/>
      <c r="M4" s="36"/>
      <c r="N4" s="36"/>
    </row>
    <row r="5" spans="1:14" x14ac:dyDescent="0.35">
      <c r="A5" t="s">
        <v>96</v>
      </c>
      <c r="B5" s="38" t="s">
        <v>95</v>
      </c>
      <c r="C5" s="38"/>
      <c r="D5" s="38"/>
      <c r="E5" s="38"/>
      <c r="F5" s="38"/>
      <c r="G5" s="37"/>
      <c r="H5" s="37"/>
      <c r="I5" s="37"/>
      <c r="J5" s="37"/>
      <c r="K5" s="37"/>
      <c r="L5" s="37"/>
      <c r="M5" s="37"/>
      <c r="N5" s="37"/>
    </row>
    <row r="6" spans="1:14" outlineLevel="1" x14ac:dyDescent="0.35">
      <c r="B6" t="s">
        <v>97</v>
      </c>
      <c r="C6" s="29">
        <f>IFERROR('Data Sheet'!B17,0)</f>
        <v>32186</v>
      </c>
      <c r="D6" s="29">
        <f>IFERROR('Data Sheet'!C17,0)</f>
        <v>33162</v>
      </c>
      <c r="E6" s="29">
        <f>IFERROR('Data Sheet'!D17,0)</f>
        <v>35545</v>
      </c>
      <c r="F6" s="29">
        <f>IFERROR('Data Sheet'!E17,0)</f>
        <v>39310</v>
      </c>
      <c r="G6" s="29">
        <f>IFERROR('Data Sheet'!F17,0)</f>
        <v>39783</v>
      </c>
      <c r="H6" s="29">
        <f>IFERROR('Data Sheet'!G17,0)</f>
        <v>47028</v>
      </c>
      <c r="I6" s="29">
        <f>IFERROR('Data Sheet'!H17,0)</f>
        <v>52446</v>
      </c>
      <c r="J6" s="29">
        <f>IFERROR('Data Sheet'!I17,0)</f>
        <v>60580</v>
      </c>
      <c r="K6" s="29">
        <f>IFERROR('Data Sheet'!J17,0)</f>
        <v>61896</v>
      </c>
      <c r="L6" s="29">
        <f>IFERROR('Data Sheet'!K17,0)</f>
        <v>63121</v>
      </c>
      <c r="M6" s="29">
        <f>IFERROR(SUM('Data Sheet'!H42:K42),0)</f>
        <v>63121</v>
      </c>
      <c r="N6" s="29"/>
    </row>
    <row r="7" spans="1:14" outlineLevel="1" x14ac:dyDescent="0.35">
      <c r="B7" s="31" t="s">
        <v>98</v>
      </c>
      <c r="C7" s="31"/>
      <c r="D7" s="32">
        <f>D6/C6-1</f>
        <v>3.03237432424035E-2</v>
      </c>
      <c r="E7" s="32">
        <f t="shared" ref="E7:G7" si="0">E6/D6-1</f>
        <v>7.1859357095470644E-2</v>
      </c>
      <c r="F7" s="32">
        <f t="shared" si="0"/>
        <v>0.1059220706147137</v>
      </c>
      <c r="G7" s="32">
        <f t="shared" si="0"/>
        <v>1.2032561689137689E-2</v>
      </c>
      <c r="H7" s="32">
        <f>H6/G6-1</f>
        <v>0.18211296282331646</v>
      </c>
      <c r="I7" s="32">
        <f t="shared" ref="I7:M7" si="1">I6/H6-1</f>
        <v>0.11520796121459553</v>
      </c>
      <c r="J7" s="32">
        <f t="shared" si="1"/>
        <v>0.15509285741524614</v>
      </c>
      <c r="K7" s="32">
        <f t="shared" si="1"/>
        <v>2.1723341036645749E-2</v>
      </c>
      <c r="L7" s="32">
        <f t="shared" si="1"/>
        <v>1.9791262763344974E-2</v>
      </c>
      <c r="M7" s="32">
        <f t="shared" si="1"/>
        <v>0</v>
      </c>
      <c r="N7" s="32"/>
    </row>
    <row r="8" spans="1:14" outlineLevel="1" x14ac:dyDescent="0.35"/>
    <row r="9" spans="1:14" outlineLevel="1" x14ac:dyDescent="0.35">
      <c r="B9" t="s">
        <v>99</v>
      </c>
      <c r="C9" s="29">
        <f>IFERROR(SUM('Data Sheet'!B20:B22,'Data Sheet'!B18)-1*('Data Sheet'!B19),0)</f>
        <v>18222</v>
      </c>
      <c r="D9" s="29">
        <f>IFERROR(SUM('Data Sheet'!C20:C22,'Data Sheet'!C18)-1*('Data Sheet'!C19),0)</f>
        <v>18675</v>
      </c>
      <c r="E9" s="29">
        <f>IFERROR(SUM('Data Sheet'!D20:D22,'Data Sheet'!D18)-1*('Data Sheet'!D19),0)</f>
        <v>19314</v>
      </c>
      <c r="F9" s="29">
        <f>IFERROR(SUM('Data Sheet'!E20:E22,'Data Sheet'!E18)-1*('Data Sheet'!E19),0)</f>
        <v>21081</v>
      </c>
      <c r="G9" s="29">
        <f>IFERROR(SUM('Data Sheet'!F20:F22,'Data Sheet'!F18)-1*('Data Sheet'!F19),0)</f>
        <v>20614</v>
      </c>
      <c r="H9" s="29">
        <f>IFERROR(SUM('Data Sheet'!G20:G22,'Data Sheet'!G18)-1*('Data Sheet'!G19),0)</f>
        <v>25301</v>
      </c>
      <c r="I9" s="29">
        <f>IFERROR(SUM('Data Sheet'!H20:H22,'Data Sheet'!H18)-1*('Data Sheet'!H19),0)</f>
        <v>29066</v>
      </c>
      <c r="J9" s="29">
        <f>IFERROR(SUM('Data Sheet'!I20:I22,'Data Sheet'!I18)-1*('Data Sheet'!I19),0)</f>
        <v>35381</v>
      </c>
      <c r="K9" s="29">
        <f>IFERROR(SUM('Data Sheet'!J20:J22,'Data Sheet'!J18)-1*('Data Sheet'!J19),0)</f>
        <v>33651</v>
      </c>
      <c r="L9" s="29">
        <f>IFERROR(SUM('Data Sheet'!K20:K22,'Data Sheet'!K18)-1*('Data Sheet'!K19),0)</f>
        <v>33655</v>
      </c>
      <c r="M9" s="29">
        <f>IFERROR(SUM('Data Sheet'!H43:K43),0)</f>
        <v>48279</v>
      </c>
      <c r="N9" s="29">
        <f>IFERROR(SUM('Data Sheet'!M30,'Data Sheet'!M18,'Data Sheet'!M20,'Data Sheet'!M21,'Data Sheet'!M22),0)</f>
        <v>0</v>
      </c>
    </row>
    <row r="10" spans="1:14" outlineLevel="1" x14ac:dyDescent="0.35">
      <c r="B10" s="33" t="s">
        <v>100</v>
      </c>
      <c r="C10" s="32">
        <f>IFERROR(C9/C6,0)</f>
        <v>0.56614677188839868</v>
      </c>
      <c r="D10" s="32">
        <f t="shared" ref="D10:G10" si="2">IFERROR(D9/D6,0)</f>
        <v>0.5631445630540981</v>
      </c>
      <c r="E10" s="32">
        <f t="shared" si="2"/>
        <v>0.54336756224504146</v>
      </c>
      <c r="F10" s="32">
        <f>IFERROR(F9/F6,0)</f>
        <v>0.53627575680488426</v>
      </c>
      <c r="G10" s="32">
        <f t="shared" si="2"/>
        <v>0.51816102355277383</v>
      </c>
      <c r="H10" s="32">
        <f t="shared" ref="H10" si="3">IFERROR(H9/H6,0)</f>
        <v>0.53799863910861612</v>
      </c>
      <c r="I10" s="32">
        <f t="shared" ref="I10" si="4">IFERROR(I9/I6,0)</f>
        <v>0.55420813789421497</v>
      </c>
      <c r="J10" s="32">
        <f t="shared" ref="J10:K10" si="5">IFERROR(J9/J6,0)</f>
        <v>0.58403763618355897</v>
      </c>
      <c r="K10" s="32">
        <f t="shared" si="5"/>
        <v>0.54367002714230317</v>
      </c>
      <c r="L10" s="32">
        <f t="shared" ref="L10" si="6">IFERROR(L9/L6,0)</f>
        <v>0.53318230066063588</v>
      </c>
      <c r="M10" s="32">
        <f t="shared" ref="M10" si="7">IFERROR(M9/M6,0)</f>
        <v>0.76486430823339302</v>
      </c>
      <c r="N10" s="34"/>
    </row>
    <row r="11" spans="1:14" outlineLevel="1" x14ac:dyDescent="0.35">
      <c r="H11" s="30"/>
    </row>
    <row r="12" spans="1:14" outlineLevel="1" x14ac:dyDescent="0.35">
      <c r="B12" s="56" t="s">
        <v>101</v>
      </c>
      <c r="C12" s="60">
        <f>IFERROR(C6-C9,0)</f>
        <v>13964</v>
      </c>
      <c r="D12" s="60">
        <f t="shared" ref="D12:M12" si="8">IFERROR(D6-D9,0)</f>
        <v>14487</v>
      </c>
      <c r="E12" s="60">
        <f t="shared" si="8"/>
        <v>16231</v>
      </c>
      <c r="F12" s="60">
        <f t="shared" si="8"/>
        <v>18229</v>
      </c>
      <c r="G12" s="60">
        <f t="shared" si="8"/>
        <v>19169</v>
      </c>
      <c r="H12" s="60">
        <f t="shared" si="8"/>
        <v>21727</v>
      </c>
      <c r="I12" s="60">
        <f t="shared" si="8"/>
        <v>23380</v>
      </c>
      <c r="J12" s="60">
        <f t="shared" si="8"/>
        <v>25199</v>
      </c>
      <c r="K12" s="60">
        <f t="shared" si="8"/>
        <v>28245</v>
      </c>
      <c r="L12" s="60">
        <f t="shared" si="8"/>
        <v>29466</v>
      </c>
      <c r="M12" s="60">
        <f t="shared" si="8"/>
        <v>14842</v>
      </c>
      <c r="N12" s="27"/>
    </row>
    <row r="13" spans="1:14" outlineLevel="1" x14ac:dyDescent="0.35">
      <c r="B13" s="33" t="s">
        <v>109</v>
      </c>
      <c r="C13" s="34">
        <f>IFERROR(C12/C6,0)</f>
        <v>0.43385322811160132</v>
      </c>
      <c r="D13" s="34">
        <f t="shared" ref="D13:F13" si="9">IFERROR(D12/D6,0)</f>
        <v>0.43685543694590195</v>
      </c>
      <c r="E13" s="34">
        <f t="shared" si="9"/>
        <v>0.45663243775495849</v>
      </c>
      <c r="F13" s="34">
        <f t="shared" si="9"/>
        <v>0.46372424319511574</v>
      </c>
      <c r="G13" s="34">
        <f>IFERROR(G12/G6,0)</f>
        <v>0.48183897644722617</v>
      </c>
      <c r="H13" s="34">
        <f>IFERROR(H12/H6,0)</f>
        <v>0.46200136089138388</v>
      </c>
      <c r="I13" s="34">
        <f t="shared" ref="I13:M13" si="10">I12/I6</f>
        <v>0.44579186210578498</v>
      </c>
      <c r="J13" s="34">
        <f t="shared" si="10"/>
        <v>0.41596236381644108</v>
      </c>
      <c r="K13" s="34">
        <f t="shared" si="10"/>
        <v>0.45632997285769678</v>
      </c>
      <c r="L13" s="34">
        <f t="shared" si="10"/>
        <v>0.46681769933936407</v>
      </c>
      <c r="M13" s="34">
        <f t="shared" si="10"/>
        <v>0.23513569176660698</v>
      </c>
      <c r="N13" s="27"/>
    </row>
    <row r="14" spans="1:14" outlineLevel="1" x14ac:dyDescent="0.35"/>
    <row r="15" spans="1:14" outlineLevel="1" x14ac:dyDescent="0.35">
      <c r="B15" t="s">
        <v>102</v>
      </c>
      <c r="C15" s="29">
        <f>IFERROR(SUM('Data Sheet'!B23:B24),0)</f>
        <v>8054</v>
      </c>
      <c r="D15" s="29">
        <f>IFERROR(SUM('Data Sheet'!C23:C24),0)</f>
        <v>8159</v>
      </c>
      <c r="E15" s="29">
        <f>IFERROR(SUM('Data Sheet'!D23:D24),0)</f>
        <v>8732</v>
      </c>
      <c r="F15" s="29">
        <f>IFERROR(SUM('Data Sheet'!E23:E24),0)</f>
        <v>9349</v>
      </c>
      <c r="G15" s="29">
        <f>IFERROR(SUM('Data Sheet'!F23:F24),0)</f>
        <v>9308</v>
      </c>
      <c r="H15" s="29">
        <f>IFERROR(SUM('Data Sheet'!G23:G24),0)</f>
        <v>10101</v>
      </c>
      <c r="I15" s="29">
        <f>IFERROR(SUM('Data Sheet'!H23:H24),0)</f>
        <v>10523</v>
      </c>
      <c r="J15" s="29">
        <f>IFERROR(SUM('Data Sheet'!I23:I24),0)</f>
        <v>11052</v>
      </c>
      <c r="K15" s="29">
        <f>IFERROR(SUM('Data Sheet'!J23:J24),0)</f>
        <v>13586</v>
      </c>
      <c r="L15" s="29">
        <f>IFERROR(SUM('Data Sheet'!K23:K24),0)</f>
        <v>14623</v>
      </c>
      <c r="M15" s="29">
        <f>IFERROR(SUM('Data Sheet'!L23:L24),0)</f>
        <v>0</v>
      </c>
      <c r="N15" s="29">
        <f>IFERROR(SUM('Data Sheet'!L23:L24),0)</f>
        <v>0</v>
      </c>
    </row>
    <row r="16" spans="1:14" outlineLevel="1" x14ac:dyDescent="0.35">
      <c r="B16" s="31" t="s">
        <v>103</v>
      </c>
      <c r="C16" s="32">
        <f>IFERROR(C15/C6,0)</f>
        <v>0.25023302056794877</v>
      </c>
      <c r="D16" s="32">
        <f t="shared" ref="D16:G16" si="11">IFERROR(D15/D6,0)</f>
        <v>0.24603461793619202</v>
      </c>
      <c r="E16" s="32">
        <f t="shared" si="11"/>
        <v>0.24566043044028696</v>
      </c>
      <c r="F16" s="32">
        <f t="shared" si="11"/>
        <v>0.23782752480284916</v>
      </c>
      <c r="G16" s="32">
        <f t="shared" si="11"/>
        <v>0.23396928336224015</v>
      </c>
      <c r="H16" s="32">
        <f t="shared" ref="H16:M16" si="12">H15/H6</f>
        <v>0.21478693544271499</v>
      </c>
      <c r="I16" s="32">
        <f t="shared" si="12"/>
        <v>0.20064447240971667</v>
      </c>
      <c r="J16" s="32">
        <f t="shared" si="12"/>
        <v>0.18243644767249917</v>
      </c>
      <c r="K16" s="32">
        <f t="shared" si="12"/>
        <v>0.21949722114514669</v>
      </c>
      <c r="L16" s="32">
        <f t="shared" si="12"/>
        <v>0.2316661649847119</v>
      </c>
      <c r="M16" s="32">
        <f t="shared" si="12"/>
        <v>0</v>
      </c>
      <c r="N16" s="31"/>
    </row>
    <row r="17" spans="2:14" outlineLevel="1" x14ac:dyDescent="0.35"/>
    <row r="18" spans="2:14" outlineLevel="1" x14ac:dyDescent="0.35">
      <c r="B18" s="56" t="s">
        <v>104</v>
      </c>
      <c r="C18" s="57">
        <f>C12-C15</f>
        <v>5910</v>
      </c>
      <c r="D18" s="57">
        <f t="shared" ref="D18:F18" si="13">D12-D15</f>
        <v>6328</v>
      </c>
      <c r="E18" s="57">
        <f t="shared" si="13"/>
        <v>7499</v>
      </c>
      <c r="F18" s="57">
        <f t="shared" si="13"/>
        <v>8880</v>
      </c>
      <c r="G18" s="57">
        <f t="shared" ref="G18:L18" si="14">G12-G15</f>
        <v>9861</v>
      </c>
      <c r="H18" s="57">
        <f t="shared" si="14"/>
        <v>11626</v>
      </c>
      <c r="I18" s="57">
        <f t="shared" si="14"/>
        <v>12857</v>
      </c>
      <c r="J18" s="57">
        <f t="shared" si="14"/>
        <v>14147</v>
      </c>
      <c r="K18" s="57">
        <f t="shared" si="14"/>
        <v>14659</v>
      </c>
      <c r="L18" s="57">
        <f t="shared" si="14"/>
        <v>14843</v>
      </c>
      <c r="M18" s="57">
        <f>IFERROR(SUM('Data Sheet'!H50:K50),0)</f>
        <v>14842</v>
      </c>
      <c r="N18" s="27"/>
    </row>
    <row r="19" spans="2:14" outlineLevel="1" x14ac:dyDescent="0.35">
      <c r="B19" s="31" t="s">
        <v>105</v>
      </c>
      <c r="C19" s="32">
        <f>C18/C6</f>
        <v>0.18362020754365252</v>
      </c>
      <c r="D19" s="32">
        <f t="shared" ref="D19:F19" si="15">D18/D6</f>
        <v>0.1908208190097099</v>
      </c>
      <c r="E19" s="32">
        <f t="shared" si="15"/>
        <v>0.21097200731467156</v>
      </c>
      <c r="F19" s="32">
        <f t="shared" si="15"/>
        <v>0.2258967183922666</v>
      </c>
      <c r="G19" s="32">
        <f>G18/G6</f>
        <v>0.24786969308498605</v>
      </c>
      <c r="H19" s="32">
        <f t="shared" ref="H19:M19" si="16">H18/H6</f>
        <v>0.24721442544866887</v>
      </c>
      <c r="I19" s="32">
        <f t="shared" si="16"/>
        <v>0.24514738969606834</v>
      </c>
      <c r="J19" s="32">
        <f t="shared" si="16"/>
        <v>0.23352591614394189</v>
      </c>
      <c r="K19" s="32">
        <f t="shared" si="16"/>
        <v>0.23683275171255008</v>
      </c>
      <c r="L19" s="32">
        <f t="shared" si="16"/>
        <v>0.23515153435465216</v>
      </c>
      <c r="M19" s="32">
        <f t="shared" si="16"/>
        <v>0.23513569176660698</v>
      </c>
      <c r="N19" s="31"/>
    </row>
    <row r="20" spans="2:14" outlineLevel="1" x14ac:dyDescent="0.35"/>
    <row r="21" spans="2:14" outlineLevel="1" x14ac:dyDescent="0.35">
      <c r="B21" t="s">
        <v>11</v>
      </c>
      <c r="C21" s="27">
        <f>IFERROR('Data Sheet'!B27,0)</f>
        <v>17</v>
      </c>
      <c r="D21" s="27">
        <f>IFERROR('Data Sheet'!C27,0)</f>
        <v>35</v>
      </c>
      <c r="E21" s="27">
        <f>IFERROR('Data Sheet'!D27,0)</f>
        <v>26</v>
      </c>
      <c r="F21" s="27">
        <f>IFERROR('Data Sheet'!E27,0)</f>
        <v>33</v>
      </c>
      <c r="G21" s="27">
        <f>IFERROR('Data Sheet'!F27,0)</f>
        <v>118</v>
      </c>
      <c r="H21" s="27">
        <f>IFERROR('Data Sheet'!G27,0)</f>
        <v>117</v>
      </c>
      <c r="I21" s="27">
        <f>IFERROR('Data Sheet'!H27,0)</f>
        <v>106</v>
      </c>
      <c r="J21" s="27">
        <f>IFERROR('Data Sheet'!I27,0)</f>
        <v>114</v>
      </c>
      <c r="K21" s="27">
        <f>IFERROR('Data Sheet'!J27,0)</f>
        <v>334</v>
      </c>
      <c r="L21" s="27">
        <f>IFERROR('Data Sheet'!K27,0)</f>
        <v>395</v>
      </c>
      <c r="M21" s="27">
        <f>IFERROR(SUM('Data Sheet'!H46:K46),0)</f>
        <v>395</v>
      </c>
    </row>
    <row r="22" spans="2:14" outlineLevel="1" x14ac:dyDescent="0.35">
      <c r="B22" s="31" t="s">
        <v>106</v>
      </c>
      <c r="C22" s="32">
        <f>IFERROR(C21/C6,0)</f>
        <v>5.2817995401727462E-4</v>
      </c>
      <c r="D22" s="32">
        <f t="shared" ref="D22:F22" si="17">IFERROR(D21/D6,0)</f>
        <v>1.0554248839032628E-3</v>
      </c>
      <c r="E22" s="32">
        <f t="shared" si="17"/>
        <v>7.3146715431143621E-4</v>
      </c>
      <c r="F22" s="32">
        <f t="shared" si="17"/>
        <v>8.3948104807936915E-4</v>
      </c>
      <c r="G22" s="32">
        <f>G21/G6</f>
        <v>2.9660910439132291E-3</v>
      </c>
      <c r="H22" s="32">
        <f t="shared" ref="H22:M22" si="18">H21/H6</f>
        <v>2.4878795611125285E-3</v>
      </c>
      <c r="I22" s="32">
        <f t="shared" si="18"/>
        <v>2.0211264920108303E-3</v>
      </c>
      <c r="J22" s="32">
        <f t="shared" si="18"/>
        <v>1.881809177946517E-3</v>
      </c>
      <c r="K22" s="32">
        <f t="shared" si="18"/>
        <v>5.3961483779242604E-3</v>
      </c>
      <c r="L22" s="32">
        <f t="shared" si="18"/>
        <v>6.2578222778473091E-3</v>
      </c>
      <c r="M22" s="32">
        <f t="shared" si="18"/>
        <v>6.2578222778473091E-3</v>
      </c>
    </row>
    <row r="23" spans="2:14" outlineLevel="1" x14ac:dyDescent="0.35"/>
    <row r="24" spans="2:14" outlineLevel="1" x14ac:dyDescent="0.35">
      <c r="B24" t="s">
        <v>107</v>
      </c>
      <c r="C24" s="27">
        <f>IFERROR('Data Sheet'!B26,0)</f>
        <v>353</v>
      </c>
      <c r="D24" s="27">
        <f>IFERROR('Data Sheet'!C26,0)</f>
        <v>432</v>
      </c>
      <c r="E24" s="27">
        <f>IFERROR('Data Sheet'!D26,0)</f>
        <v>520</v>
      </c>
      <c r="F24" s="27">
        <f>IFERROR('Data Sheet'!E26,0)</f>
        <v>565</v>
      </c>
      <c r="G24" s="27">
        <f>IFERROR('Data Sheet'!F26,0)</f>
        <v>1002</v>
      </c>
      <c r="H24" s="27">
        <f>IFERROR('Data Sheet'!G26,0)</f>
        <v>1074</v>
      </c>
      <c r="I24" s="27">
        <f>IFERROR('Data Sheet'!H26,0)</f>
        <v>1091</v>
      </c>
      <c r="J24" s="27">
        <f>IFERROR('Data Sheet'!I26,0)</f>
        <v>1137</v>
      </c>
      <c r="K24" s="27">
        <f>IFERROR('Data Sheet'!J26,0)</f>
        <v>1216</v>
      </c>
      <c r="L24" s="27">
        <f>IFERROR('Data Sheet'!K26,0)</f>
        <v>1355</v>
      </c>
      <c r="M24" s="27">
        <f>IFERROR(SUM('Data Sheet'!H45:K45),0)</f>
        <v>1355</v>
      </c>
    </row>
    <row r="25" spans="2:14" outlineLevel="1" x14ac:dyDescent="0.35">
      <c r="B25" s="33" t="s">
        <v>108</v>
      </c>
      <c r="C25" s="32">
        <f>C24/C6</f>
        <v>1.0967501398123409E-2</v>
      </c>
      <c r="D25" s="32">
        <f t="shared" ref="D25:F25" si="19">D24/D6</f>
        <v>1.3026958567034558E-2</v>
      </c>
      <c r="E25" s="32">
        <f t="shared" si="19"/>
        <v>1.4629343086228723E-2</v>
      </c>
      <c r="F25" s="32">
        <f t="shared" si="19"/>
        <v>1.437293309590435E-2</v>
      </c>
      <c r="G25" s="32">
        <f>G24/G6</f>
        <v>2.5186637508483524E-2</v>
      </c>
      <c r="H25" s="32">
        <f t="shared" ref="H25:M25" si="20">H24/H6</f>
        <v>2.2837458535340648E-2</v>
      </c>
      <c r="I25" s="32">
        <f t="shared" si="20"/>
        <v>2.0802349082866187E-2</v>
      </c>
      <c r="J25" s="32">
        <f t="shared" si="20"/>
        <v>1.8768570485308684E-2</v>
      </c>
      <c r="K25" s="32">
        <f t="shared" si="20"/>
        <v>1.9645857567532635E-2</v>
      </c>
      <c r="L25" s="32">
        <f t="shared" si="20"/>
        <v>2.1466706801223048E-2</v>
      </c>
      <c r="M25" s="32">
        <f t="shared" si="20"/>
        <v>2.1466706801223048E-2</v>
      </c>
    </row>
    <row r="26" spans="2:14" outlineLevel="1" x14ac:dyDescent="0.35"/>
    <row r="27" spans="2:14" outlineLevel="1" x14ac:dyDescent="0.35">
      <c r="B27" s="56" t="s">
        <v>110</v>
      </c>
      <c r="C27" s="57">
        <f>IFERROR(C18-SUM(C21,C24),0)</f>
        <v>5540</v>
      </c>
      <c r="D27" s="57">
        <f>IFERROR(D18-SUM(D21,D24),0)</f>
        <v>5861</v>
      </c>
      <c r="E27" s="57">
        <f t="shared" ref="E27:G27" si="21">IFERROR(E18-SUM(E21,E24),0)</f>
        <v>6953</v>
      </c>
      <c r="F27" s="57">
        <f t="shared" si="21"/>
        <v>8282</v>
      </c>
      <c r="G27" s="58">
        <f t="shared" si="21"/>
        <v>8741</v>
      </c>
      <c r="H27" s="58">
        <f t="shared" ref="H27:M27" si="22">IFERROR(H18-(SUM(H21,H24)),0)</f>
        <v>10435</v>
      </c>
      <c r="I27" s="58">
        <f t="shared" si="22"/>
        <v>11660</v>
      </c>
      <c r="J27" s="58">
        <f t="shared" si="22"/>
        <v>12896</v>
      </c>
      <c r="K27" s="59">
        <f t="shared" si="22"/>
        <v>13109</v>
      </c>
      <c r="L27" s="59">
        <f t="shared" si="22"/>
        <v>13093</v>
      </c>
      <c r="M27" s="57">
        <f t="shared" si="22"/>
        <v>13092</v>
      </c>
    </row>
    <row r="28" spans="2:14" outlineLevel="1" x14ac:dyDescent="0.35">
      <c r="B28" s="31" t="s">
        <v>111</v>
      </c>
      <c r="C28" s="32">
        <f>IFERROR(C27/C6,0)</f>
        <v>0.17212452619151183</v>
      </c>
      <c r="D28" s="32">
        <f t="shared" ref="D28:G28" si="23">IFERROR(D27/D6,0)</f>
        <v>0.17673843555877208</v>
      </c>
      <c r="E28" s="32">
        <f t="shared" si="23"/>
        <v>0.19561119707413138</v>
      </c>
      <c r="F28" s="32">
        <f t="shared" si="23"/>
        <v>0.21068430424828288</v>
      </c>
      <c r="G28" s="32">
        <f t="shared" si="23"/>
        <v>0.21971696453258929</v>
      </c>
      <c r="H28" s="32">
        <f t="shared" ref="H28:M28" si="24">H27/H6</f>
        <v>0.22188908735221571</v>
      </c>
      <c r="I28" s="32">
        <f t="shared" si="24"/>
        <v>0.22232391412119132</v>
      </c>
      <c r="J28" s="32">
        <f t="shared" si="24"/>
        <v>0.21287553648068669</v>
      </c>
      <c r="K28" s="32">
        <f t="shared" si="24"/>
        <v>0.2117907457670932</v>
      </c>
      <c r="L28" s="32">
        <f t="shared" si="24"/>
        <v>0.20742700527558183</v>
      </c>
      <c r="M28" s="32">
        <f t="shared" si="24"/>
        <v>0.20741116268753665</v>
      </c>
    </row>
    <row r="29" spans="2:14" outlineLevel="1" x14ac:dyDescent="0.35"/>
    <row r="30" spans="2:14" outlineLevel="1" x14ac:dyDescent="0.35">
      <c r="B30" t="s">
        <v>13</v>
      </c>
      <c r="C30" s="28">
        <f>IFERROR('Data Sheet'!B29,0)</f>
        <v>1875</v>
      </c>
      <c r="D30" s="28">
        <f>IFERROR('Data Sheet'!C29,0)</f>
        <v>1977</v>
      </c>
      <c r="E30" s="28">
        <f>IFERROR('Data Sheet'!D29,0)</f>
        <v>2079</v>
      </c>
      <c r="F30" s="28">
        <f>IFERROR('Data Sheet'!E29,0)</f>
        <v>2544</v>
      </c>
      <c r="G30" s="28">
        <f>IFERROR('Data Sheet'!F29,0)</f>
        <v>2409</v>
      </c>
      <c r="H30" s="28">
        <f>IFERROR('Data Sheet'!G29,0)</f>
        <v>2606</v>
      </c>
      <c r="I30" s="28">
        <f>IFERROR('Data Sheet'!H29,0)</f>
        <v>2987</v>
      </c>
      <c r="J30" s="28">
        <f>IFERROR('Data Sheet'!I29,0)</f>
        <v>3201</v>
      </c>
      <c r="K30" s="28">
        <f>IFERROR('Data Sheet'!J29,0)</f>
        <v>3644</v>
      </c>
      <c r="L30" s="28">
        <f>IFERROR('Data Sheet'!K29,0)</f>
        <v>3744</v>
      </c>
      <c r="M30" s="28">
        <f>IFERROR('Data Sheet'!L29,0)</f>
        <v>0</v>
      </c>
    </row>
    <row r="31" spans="2:14" outlineLevel="1" x14ac:dyDescent="0.35">
      <c r="B31" s="33" t="s">
        <v>112</v>
      </c>
      <c r="C31" s="34">
        <f>C30/C27</f>
        <v>0.33844765342960287</v>
      </c>
      <c r="D31" s="34">
        <f t="shared" ref="D31:F31" si="25">D30/D27</f>
        <v>0.33731445145879541</v>
      </c>
      <c r="E31" s="34">
        <f t="shared" si="25"/>
        <v>0.29900762260894576</v>
      </c>
      <c r="F31" s="34">
        <f t="shared" si="25"/>
        <v>0.30717218063269741</v>
      </c>
      <c r="G31" s="34">
        <f>G30/G27</f>
        <v>0.27559775769362771</v>
      </c>
      <c r="H31" s="34">
        <f t="shared" ref="H31:M31" si="26">H30/H27</f>
        <v>0.24973646382367035</v>
      </c>
      <c r="I31" s="34">
        <f t="shared" si="26"/>
        <v>0.25617495711835336</v>
      </c>
      <c r="J31" s="34">
        <f t="shared" si="26"/>
        <v>0.24821650124069478</v>
      </c>
      <c r="K31" s="34">
        <f t="shared" si="26"/>
        <v>0.27797696239224962</v>
      </c>
      <c r="L31" s="34">
        <f t="shared" si="26"/>
        <v>0.28595432673947913</v>
      </c>
      <c r="M31" s="34">
        <f t="shared" si="26"/>
        <v>0</v>
      </c>
    </row>
    <row r="32" spans="2:14" outlineLevel="1" x14ac:dyDescent="0.35"/>
    <row r="33" spans="1:14" outlineLevel="1" x14ac:dyDescent="0.35">
      <c r="B33" s="61" t="s">
        <v>14</v>
      </c>
      <c r="C33" s="62">
        <f>IFERROR(C27-C30,0)</f>
        <v>3665</v>
      </c>
      <c r="D33" s="62">
        <f t="shared" ref="D33:M33" si="27">IFERROR(D27-D30,0)</f>
        <v>3884</v>
      </c>
      <c r="E33" s="62">
        <f t="shared" si="27"/>
        <v>4874</v>
      </c>
      <c r="F33" s="62">
        <f t="shared" si="27"/>
        <v>5738</v>
      </c>
      <c r="G33" s="62">
        <f t="shared" si="27"/>
        <v>6332</v>
      </c>
      <c r="H33" s="62">
        <f t="shared" si="27"/>
        <v>7829</v>
      </c>
      <c r="I33" s="62">
        <f t="shared" si="27"/>
        <v>8673</v>
      </c>
      <c r="J33" s="62">
        <f t="shared" si="27"/>
        <v>9695</v>
      </c>
      <c r="K33" s="62">
        <f t="shared" si="27"/>
        <v>9465</v>
      </c>
      <c r="L33" s="62">
        <f t="shared" si="27"/>
        <v>9349</v>
      </c>
      <c r="M33" s="62">
        <f t="shared" si="27"/>
        <v>13092</v>
      </c>
    </row>
    <row r="34" spans="1:14" outlineLevel="1" x14ac:dyDescent="0.35">
      <c r="B34" s="31" t="s">
        <v>113</v>
      </c>
      <c r="C34" s="34">
        <f>C33/C6</f>
        <v>0.11386938420431243</v>
      </c>
      <c r="D34" s="34">
        <f t="shared" ref="D34:F34" si="28">D33/D6</f>
        <v>0.11712200711657922</v>
      </c>
      <c r="E34" s="34">
        <f t="shared" si="28"/>
        <v>0.1371219580813054</v>
      </c>
      <c r="F34" s="34">
        <f t="shared" si="28"/>
        <v>0.14596794708725516</v>
      </c>
      <c r="G34" s="34">
        <f>G33/G6</f>
        <v>0.15916346178015736</v>
      </c>
      <c r="H34" s="34">
        <f t="shared" ref="H34:M34" si="29">H33/H6</f>
        <v>0.16647529131581185</v>
      </c>
      <c r="I34" s="34">
        <f t="shared" si="29"/>
        <v>0.16537009495481067</v>
      </c>
      <c r="J34" s="34">
        <f t="shared" si="29"/>
        <v>0.16003631561571477</v>
      </c>
      <c r="K34" s="34">
        <f t="shared" si="29"/>
        <v>0.15291779759596744</v>
      </c>
      <c r="L34" s="34">
        <f t="shared" si="29"/>
        <v>0.14811235563441644</v>
      </c>
      <c r="M34" s="34">
        <f t="shared" si="29"/>
        <v>0.20741116268753665</v>
      </c>
    </row>
    <row r="35" spans="1:14" outlineLevel="1" x14ac:dyDescent="0.35"/>
    <row r="36" spans="1:14" outlineLevel="1" x14ac:dyDescent="0.35">
      <c r="B36" t="s">
        <v>114</v>
      </c>
      <c r="C36" s="28">
        <f>IFERROR('Data Sheet'!B93,0)</f>
        <v>216.39</v>
      </c>
      <c r="D36" s="28">
        <f>IFERROR('Data Sheet'!C93,0)</f>
        <v>216.43</v>
      </c>
      <c r="E36" s="28">
        <f>IFERROR('Data Sheet'!D93,0)</f>
        <v>216.45</v>
      </c>
      <c r="F36" s="28">
        <f>IFERROR('Data Sheet'!E93,0)</f>
        <v>216.47</v>
      </c>
      <c r="G36" s="28">
        <f>IFERROR('Data Sheet'!F93,0)</f>
        <v>216.48</v>
      </c>
      <c r="H36" s="28">
        <f>IFERROR('Data Sheet'!G93,0)</f>
        <v>234.96</v>
      </c>
      <c r="I36" s="28">
        <f>IFERROR('Data Sheet'!H93,0)</f>
        <v>234.96</v>
      </c>
      <c r="J36" s="28">
        <f>IFERROR('Data Sheet'!I93,0)</f>
        <v>234.96</v>
      </c>
      <c r="K36" s="28">
        <f>IFERROR('Data Sheet'!J93,0)</f>
        <v>234.96</v>
      </c>
      <c r="L36" s="28">
        <f>IFERROR('Data Sheet'!K93,0)</f>
        <v>234.96</v>
      </c>
      <c r="M36" s="28">
        <f>IFERROR('Data Sheet'!L93,0)</f>
        <v>0</v>
      </c>
      <c r="N36" s="27"/>
    </row>
    <row r="37" spans="1:14" outlineLevel="1" x14ac:dyDescent="0.35">
      <c r="G37" s="27"/>
      <c r="H37" s="27"/>
      <c r="I37" s="27"/>
      <c r="J37" s="27"/>
      <c r="K37" s="27"/>
      <c r="L37" s="27"/>
      <c r="M37" s="27"/>
      <c r="N37" s="27"/>
    </row>
    <row r="38" spans="1:14" outlineLevel="1" x14ac:dyDescent="0.35">
      <c r="B38" t="s">
        <v>57</v>
      </c>
      <c r="C38" s="28">
        <f>IFERROR(C33/C36,0)</f>
        <v>16.937011876704101</v>
      </c>
      <c r="D38" s="28">
        <f>IFERROR(D33/D36,0)</f>
        <v>17.945756133622879</v>
      </c>
      <c r="E38" s="28">
        <f t="shared" ref="E38:G38" si="30">IFERROR(E33/E36,0)</f>
        <v>22.51790251790252</v>
      </c>
      <c r="F38" s="28">
        <f t="shared" si="30"/>
        <v>26.507137247655564</v>
      </c>
      <c r="G38" s="28">
        <f t="shared" si="30"/>
        <v>29.249815225424982</v>
      </c>
      <c r="H38" s="28">
        <f t="shared" ref="H38:M38" si="31">IFERROR(H33/H36,0)</f>
        <v>33.320565202587673</v>
      </c>
      <c r="I38" s="28">
        <f t="shared" si="31"/>
        <v>36.912665985699689</v>
      </c>
      <c r="J38" s="28">
        <f t="shared" si="31"/>
        <v>41.262342526387471</v>
      </c>
      <c r="K38" s="28">
        <f t="shared" si="31"/>
        <v>40.283452502553622</v>
      </c>
      <c r="L38" s="28">
        <f t="shared" si="31"/>
        <v>39.789751447054819</v>
      </c>
      <c r="M38" s="28">
        <f t="shared" si="31"/>
        <v>0</v>
      </c>
      <c r="N38" s="27"/>
    </row>
    <row r="39" spans="1:14" outlineLevel="1" x14ac:dyDescent="0.35">
      <c r="B39" s="31" t="s">
        <v>116</v>
      </c>
      <c r="C39" s="34"/>
      <c r="D39" s="34">
        <f>D38/C38-1</f>
        <v>5.9558572920778818E-2</v>
      </c>
      <c r="E39" s="34">
        <f t="shared" ref="E39:G39" si="32">E38/D38-1</f>
        <v>0.25477591193348159</v>
      </c>
      <c r="F39" s="34">
        <f t="shared" si="32"/>
        <v>0.17715836217789205</v>
      </c>
      <c r="G39" s="34">
        <f t="shared" si="32"/>
        <v>0.10346941475213423</v>
      </c>
      <c r="H39" s="34">
        <f>H38/G38-1</f>
        <v>0.1391718185496178</v>
      </c>
      <c r="I39" s="34">
        <f t="shared" ref="I39:M39" si="33">I38/H38-1</f>
        <v>0.10780431728190054</v>
      </c>
      <c r="J39" s="34">
        <f t="shared" si="33"/>
        <v>0.11783696529459253</v>
      </c>
      <c r="K39" s="34">
        <f t="shared" si="33"/>
        <v>-2.3723568849922771E-2</v>
      </c>
      <c r="L39" s="34">
        <f t="shared" si="33"/>
        <v>-1.2255678816692983E-2</v>
      </c>
      <c r="M39" s="34">
        <f t="shared" si="33"/>
        <v>-1</v>
      </c>
      <c r="N39" s="27"/>
    </row>
    <row r="40" spans="1:14" outlineLevel="1" x14ac:dyDescent="0.35"/>
    <row r="41" spans="1:14" outlineLevel="1" x14ac:dyDescent="0.35">
      <c r="B41" t="s">
        <v>115</v>
      </c>
      <c r="C41" s="28">
        <f>IFERROR('Data Sheet'!B31,0)</f>
        <v>3456</v>
      </c>
      <c r="D41" s="28">
        <f>IFERROR('Data Sheet'!C31,0)</f>
        <v>3672</v>
      </c>
      <c r="E41" s="28">
        <f>IFERROR('Data Sheet'!D31,0)</f>
        <v>4320</v>
      </c>
      <c r="F41" s="28">
        <f>IFERROR('Data Sheet'!E31,0)</f>
        <v>4752</v>
      </c>
      <c r="G41" s="28">
        <f>IFERROR('Data Sheet'!F31,0)</f>
        <v>5400</v>
      </c>
      <c r="H41" s="28">
        <f>IFERROR('Data Sheet'!G31,0)</f>
        <v>9517.5</v>
      </c>
      <c r="I41" s="28">
        <f>IFERROR('Data Sheet'!H31,0)</f>
        <v>7990</v>
      </c>
      <c r="J41" s="28">
        <f>IFERROR('Data Sheet'!I31,0)</f>
        <v>9165</v>
      </c>
      <c r="K41" s="28">
        <f>IFERROR('Data Sheet'!J31,0)</f>
        <v>9870</v>
      </c>
      <c r="L41" s="28">
        <f>IFERROR('Data Sheet'!K31,0)</f>
        <v>12455</v>
      </c>
      <c r="M41" s="28">
        <f>IFERROR('Data Sheet'!L31,0)</f>
        <v>0</v>
      </c>
    </row>
    <row r="42" spans="1:14" outlineLevel="1" x14ac:dyDescent="0.35">
      <c r="B42" s="31" t="s">
        <v>117</v>
      </c>
      <c r="C42" s="34">
        <f>IFERROR(C41/C38,0)</f>
        <v>204.05016098226463</v>
      </c>
      <c r="D42" s="34">
        <f t="shared" ref="D42:F42" si="34">IFERROR(D41/D38,0)</f>
        <v>204.61662203913494</v>
      </c>
      <c r="E42" s="34">
        <f t="shared" si="34"/>
        <v>191.84735330324168</v>
      </c>
      <c r="F42" s="34">
        <f t="shared" si="34"/>
        <v>179.272471244336</v>
      </c>
      <c r="G42" s="34">
        <f>IFERROR(IG41/G38,0)</f>
        <v>0</v>
      </c>
      <c r="H42" s="34">
        <f t="shared" ref="H42:M42" si="35">IFERROR(H41/H38,0)</f>
        <v>285.63441052497126</v>
      </c>
      <c r="I42" s="34">
        <f t="shared" si="35"/>
        <v>216.45686613628504</v>
      </c>
      <c r="J42" s="34">
        <f t="shared" si="35"/>
        <v>222.11535843218152</v>
      </c>
      <c r="K42" s="34">
        <f t="shared" si="35"/>
        <v>245.01375594294774</v>
      </c>
      <c r="L42" s="34">
        <f t="shared" si="35"/>
        <v>313.02030163653865</v>
      </c>
      <c r="M42" s="34">
        <f t="shared" si="35"/>
        <v>0</v>
      </c>
    </row>
    <row r="43" spans="1:14" outlineLevel="1" x14ac:dyDescent="0.35"/>
    <row r="44" spans="1:14" outlineLevel="1" x14ac:dyDescent="0.35">
      <c r="B44" s="39" t="s">
        <v>118</v>
      </c>
      <c r="C44" s="40">
        <f>IFERROR(IF(C38&gt;C41,1-C42,0),0)</f>
        <v>0</v>
      </c>
      <c r="D44" s="40">
        <f t="shared" ref="D44:G44" si="36">IFERROR(IF(D38&gt;D41,1-D42,0),0)</f>
        <v>0</v>
      </c>
      <c r="E44" s="40">
        <f t="shared" si="36"/>
        <v>0</v>
      </c>
      <c r="F44" s="40">
        <f t="shared" si="36"/>
        <v>0</v>
      </c>
      <c r="G44" s="40">
        <f t="shared" si="36"/>
        <v>0</v>
      </c>
      <c r="H44" s="40">
        <f t="shared" ref="H44:M44" si="37">IFERROR(IF(H38&gt;H41,1-H42,0),0)</f>
        <v>0</v>
      </c>
      <c r="I44" s="40">
        <f t="shared" si="37"/>
        <v>0</v>
      </c>
      <c r="J44" s="40">
        <f t="shared" si="37"/>
        <v>0</v>
      </c>
      <c r="K44" s="40">
        <f t="shared" si="37"/>
        <v>0</v>
      </c>
      <c r="L44" s="40">
        <f t="shared" si="37"/>
        <v>0</v>
      </c>
      <c r="M44" s="40">
        <f t="shared" si="37"/>
        <v>0</v>
      </c>
    </row>
    <row r="46" spans="1:14" x14ac:dyDescent="0.35">
      <c r="A46" t="s">
        <v>96</v>
      </c>
      <c r="B46" s="38" t="s">
        <v>119</v>
      </c>
      <c r="C46" s="38"/>
      <c r="D46" s="38"/>
      <c r="E46" s="38"/>
      <c r="F46" s="38"/>
      <c r="G46" s="37"/>
      <c r="H46" s="37"/>
      <c r="I46" s="37"/>
      <c r="J46" s="37"/>
      <c r="K46" s="37"/>
      <c r="L46" s="37"/>
      <c r="M46" s="37"/>
      <c r="N46" s="37"/>
    </row>
    <row r="47" spans="1:14" outlineLevel="1" x14ac:dyDescent="0.35">
      <c r="B47" s="6" t="s">
        <v>24</v>
      </c>
      <c r="C47" s="28">
        <f>IFERROR('Data Sheet'!B57,0)</f>
        <v>216</v>
      </c>
      <c r="D47" s="28">
        <f>IFERROR('Data Sheet'!C57,0)</f>
        <v>216</v>
      </c>
      <c r="E47" s="28">
        <f>IFERROR('Data Sheet'!D57,0)</f>
        <v>216</v>
      </c>
      <c r="F47" s="28">
        <f>IFERROR('Data Sheet'!E57,0)</f>
        <v>216</v>
      </c>
      <c r="G47" s="28">
        <f>IFERROR('Data Sheet'!F57,0)</f>
        <v>216</v>
      </c>
      <c r="H47" s="28">
        <f>IFERROR('Data Sheet'!G57,0)</f>
        <v>235</v>
      </c>
      <c r="I47" s="28">
        <f>IFERROR('Data Sheet'!H57,0)</f>
        <v>235</v>
      </c>
      <c r="J47" s="28">
        <f>IFERROR('Data Sheet'!I57,0)</f>
        <v>235</v>
      </c>
      <c r="K47" s="28">
        <f>IFERROR('Data Sheet'!J57,0)</f>
        <v>235</v>
      </c>
      <c r="L47" s="28">
        <f>IFERROR('Data Sheet'!K57,0)</f>
        <v>235</v>
      </c>
    </row>
    <row r="48" spans="1:14" outlineLevel="1" x14ac:dyDescent="0.35">
      <c r="B48" s="6" t="s">
        <v>25</v>
      </c>
      <c r="C48" s="28">
        <f>IFERROR('Data Sheet'!B58,0)</f>
        <v>6357</v>
      </c>
      <c r="D48" s="28">
        <f>IFERROR('Data Sheet'!C58,0)</f>
        <v>6528</v>
      </c>
      <c r="E48" s="28">
        <f>IFERROR('Data Sheet'!D58,0)</f>
        <v>7065</v>
      </c>
      <c r="F48" s="28">
        <f>IFERROR('Data Sheet'!E58,0)</f>
        <v>7651</v>
      </c>
      <c r="G48" s="28">
        <f>IFERROR('Data Sheet'!F58,0)</f>
        <v>8013</v>
      </c>
      <c r="H48" s="28">
        <f>IFERROR('Data Sheet'!G58,0)</f>
        <v>47439</v>
      </c>
      <c r="I48" s="28">
        <f>IFERROR('Data Sheet'!H58,0)</f>
        <v>48826</v>
      </c>
      <c r="J48" s="28">
        <f>IFERROR('Data Sheet'!I58,0)</f>
        <v>50069</v>
      </c>
      <c r="K48" s="28">
        <f>IFERROR('Data Sheet'!J58,0)</f>
        <v>50983</v>
      </c>
      <c r="L48" s="28">
        <f>IFERROR('Data Sheet'!K58,0)</f>
        <v>49167</v>
      </c>
    </row>
    <row r="49" spans="2:13" outlineLevel="1" x14ac:dyDescent="0.35">
      <c r="B49" s="6" t="s">
        <v>71</v>
      </c>
      <c r="C49" s="28">
        <f>IFERROR('Data Sheet'!B59,0)</f>
        <v>177</v>
      </c>
      <c r="D49" s="28">
        <f>IFERROR('Data Sheet'!C59,0)</f>
        <v>277</v>
      </c>
      <c r="E49" s="28">
        <f>IFERROR('Data Sheet'!D59,0)</f>
        <v>0</v>
      </c>
      <c r="F49" s="28">
        <f>IFERROR('Data Sheet'!E59,0)</f>
        <v>99</v>
      </c>
      <c r="G49" s="28">
        <f>IFERROR('Data Sheet'!F59,0)</f>
        <v>0</v>
      </c>
      <c r="H49" s="28">
        <f>IFERROR('Data Sheet'!G59,0)</f>
        <v>0</v>
      </c>
      <c r="I49" s="28">
        <f>IFERROR('Data Sheet'!H59,0)</f>
        <v>1043</v>
      </c>
      <c r="J49" s="28">
        <f>IFERROR('Data Sheet'!I59,0)</f>
        <v>1219</v>
      </c>
      <c r="K49" s="28">
        <f>IFERROR('Data Sheet'!J59,0)</f>
        <v>1484</v>
      </c>
      <c r="L49" s="28">
        <f>IFERROR('Data Sheet'!K59,0)</f>
        <v>1648</v>
      </c>
    </row>
    <row r="50" spans="2:13" outlineLevel="1" x14ac:dyDescent="0.35">
      <c r="B50" s="6" t="s">
        <v>72</v>
      </c>
      <c r="C50" s="28">
        <f>IFERROR('Data Sheet'!B60,0)</f>
        <v>8043</v>
      </c>
      <c r="D50" s="28">
        <f>IFERROR('Data Sheet'!C60,0)</f>
        <v>8685</v>
      </c>
      <c r="E50" s="28">
        <f>IFERROR('Data Sheet'!D60,0)</f>
        <v>10581</v>
      </c>
      <c r="F50" s="28">
        <f>IFERROR('Data Sheet'!E60,0)</f>
        <v>10663</v>
      </c>
      <c r="G50" s="28">
        <f>IFERROR('Data Sheet'!F60,0)</f>
        <v>11924</v>
      </c>
      <c r="H50" s="28">
        <f>IFERROR('Data Sheet'!G60,0)</f>
        <v>21066</v>
      </c>
      <c r="I50" s="28">
        <f>IFERROR('Data Sheet'!H60,0)</f>
        <v>20402</v>
      </c>
      <c r="J50" s="28">
        <f>IFERROR('Data Sheet'!I60,0)</f>
        <v>21554</v>
      </c>
      <c r="K50" s="28">
        <f>IFERROR('Data Sheet'!J60,0)</f>
        <v>25787</v>
      </c>
      <c r="L50" s="28">
        <f>IFERROR('Data Sheet'!K60,0)</f>
        <v>28830</v>
      </c>
      <c r="M50" s="28">
        <f>IFERROR('Data Sheet'!L60,0)</f>
        <v>0</v>
      </c>
    </row>
    <row r="51" spans="2:13" outlineLevel="1" x14ac:dyDescent="0.35">
      <c r="B51" s="63" t="s">
        <v>120</v>
      </c>
      <c r="C51" s="58">
        <f>IFERROR('Data Sheet'!B61,0)</f>
        <v>14793</v>
      </c>
      <c r="D51" s="58">
        <f>IFERROR('Data Sheet'!C61,0)</f>
        <v>15706</v>
      </c>
      <c r="E51" s="58">
        <f>IFERROR('Data Sheet'!D61,0)</f>
        <v>17862</v>
      </c>
      <c r="F51" s="58">
        <f>IFERROR('Data Sheet'!E61,0)</f>
        <v>18629</v>
      </c>
      <c r="G51" s="58">
        <f>IFERROR('Data Sheet'!F61,0)</f>
        <v>20153</v>
      </c>
      <c r="H51" s="58">
        <f>IFERROR('Data Sheet'!G61,0)</f>
        <v>68740</v>
      </c>
      <c r="I51" s="58">
        <f>IFERROR('Data Sheet'!H61,0)</f>
        <v>70506</v>
      </c>
      <c r="J51" s="58">
        <f>IFERROR('Data Sheet'!I61,0)</f>
        <v>73077</v>
      </c>
      <c r="K51" s="58">
        <f>IFERROR('Data Sheet'!J61,0)</f>
        <v>78489</v>
      </c>
      <c r="L51" s="58">
        <f>IFERROR('Data Sheet'!K61,0)</f>
        <v>79880</v>
      </c>
      <c r="M51" s="28">
        <f>IFERROR('Data Sheet'!L61,0)</f>
        <v>0</v>
      </c>
    </row>
    <row r="52" spans="2:13" outlineLevel="1" x14ac:dyDescent="0.35">
      <c r="C52" s="28"/>
      <c r="D52" s="28"/>
      <c r="E52" s="28"/>
      <c r="F52" s="28"/>
    </row>
    <row r="53" spans="2:13" outlineLevel="1" x14ac:dyDescent="0.35">
      <c r="B53" s="6" t="s">
        <v>121</v>
      </c>
      <c r="C53" s="28">
        <f>IFERROR('Data Sheet'!B62,0)</f>
        <v>3258</v>
      </c>
      <c r="D53" s="28">
        <f>IFERROR('Data Sheet'!C62,0)</f>
        <v>4419</v>
      </c>
      <c r="E53" s="28">
        <f>IFERROR('Data Sheet'!D62,0)</f>
        <v>4528</v>
      </c>
      <c r="F53" s="28">
        <f>IFERROR('Data Sheet'!E62,0)</f>
        <v>4715</v>
      </c>
      <c r="G53" s="28">
        <f>IFERROR('Data Sheet'!F62,0)</f>
        <v>5479</v>
      </c>
      <c r="H53" s="28">
        <f>IFERROR('Data Sheet'!G62,0)</f>
        <v>51443</v>
      </c>
      <c r="I53" s="28">
        <f>IFERROR('Data Sheet'!H62,0)</f>
        <v>51473</v>
      </c>
      <c r="J53" s="28">
        <f>IFERROR('Data Sheet'!I62,0)</f>
        <v>52678</v>
      </c>
      <c r="K53" s="28">
        <f>IFERROR('Data Sheet'!J62,0)</f>
        <v>53744</v>
      </c>
      <c r="L53" s="28">
        <f>IFERROR('Data Sheet'!K62,0)</f>
        <v>54335</v>
      </c>
    </row>
    <row r="54" spans="2:13" outlineLevel="1" x14ac:dyDescent="0.35">
      <c r="B54" s="6" t="s">
        <v>28</v>
      </c>
      <c r="C54" s="28">
        <f>IFERROR('Data Sheet'!B63,0)</f>
        <v>408</v>
      </c>
      <c r="D54" s="28">
        <f>IFERROR('Data Sheet'!C63,0)</f>
        <v>229</v>
      </c>
      <c r="E54" s="28">
        <f>IFERROR('Data Sheet'!D63,0)</f>
        <v>461</v>
      </c>
      <c r="F54" s="28">
        <f>IFERROR('Data Sheet'!E63,0)</f>
        <v>406</v>
      </c>
      <c r="G54" s="28">
        <f>IFERROR('Data Sheet'!F63,0)</f>
        <v>597</v>
      </c>
      <c r="H54" s="28">
        <f>IFERROR('Data Sheet'!G63,0)</f>
        <v>745</v>
      </c>
      <c r="I54" s="28">
        <f>IFERROR('Data Sheet'!H63,0)</f>
        <v>1313</v>
      </c>
      <c r="J54" s="28">
        <f>IFERROR('Data Sheet'!I63,0)</f>
        <v>1132</v>
      </c>
      <c r="K54" s="28">
        <f>IFERROR('Data Sheet'!J63,0)</f>
        <v>1025</v>
      </c>
      <c r="L54" s="28">
        <f>IFERROR('Data Sheet'!K63,0)</f>
        <v>1009</v>
      </c>
    </row>
    <row r="55" spans="2:13" outlineLevel="1" x14ac:dyDescent="0.35">
      <c r="B55" s="6" t="s">
        <v>29</v>
      </c>
      <c r="C55" s="28">
        <f>IFERROR('Data Sheet'!B64,0)</f>
        <v>2592</v>
      </c>
      <c r="D55" s="28">
        <f>IFERROR('Data Sheet'!C64,0)</f>
        <v>3794</v>
      </c>
      <c r="E55" s="28">
        <f>IFERROR('Data Sheet'!D64,0)</f>
        <v>2873</v>
      </c>
      <c r="F55" s="28">
        <f>IFERROR('Data Sheet'!E64,0)</f>
        <v>2716</v>
      </c>
      <c r="G55" s="28">
        <f>IFERROR('Data Sheet'!F64,0)</f>
        <v>1255</v>
      </c>
      <c r="H55" s="28">
        <f>IFERROR('Data Sheet'!G64,0)</f>
        <v>2709</v>
      </c>
      <c r="I55" s="28">
        <f>IFERROR('Data Sheet'!H64,0)</f>
        <v>3521</v>
      </c>
      <c r="J55" s="28">
        <f>IFERROR('Data Sheet'!I64,0)</f>
        <v>2882</v>
      </c>
      <c r="K55" s="28">
        <f>IFERROR('Data Sheet'!J64,0)</f>
        <v>4625</v>
      </c>
      <c r="L55" s="28">
        <f>IFERROR('Data Sheet'!K64,0)</f>
        <v>3810</v>
      </c>
    </row>
    <row r="56" spans="2:13" outlineLevel="1" x14ac:dyDescent="0.35">
      <c r="B56" s="6" t="s">
        <v>73</v>
      </c>
      <c r="C56" s="28">
        <f>IFERROR('Data Sheet'!B65-SUM('Data Sheet'!B67:B69),0)</f>
        <v>1536</v>
      </c>
      <c r="D56" s="28">
        <f>IFERROR('Data Sheet'!C65-SUM('Data Sheet'!C67:C69),0)</f>
        <v>1810</v>
      </c>
      <c r="E56" s="28">
        <f>IFERROR('Data Sheet'!D65-SUM('Data Sheet'!D67:D69),0)</f>
        <v>2692</v>
      </c>
      <c r="F56" s="28">
        <f>IFERROR('Data Sheet'!E65-SUM('Data Sheet'!E67:E69),0)</f>
        <v>2645</v>
      </c>
      <c r="G56" s="28">
        <f>IFERROR('Data Sheet'!F65-SUM('Data Sheet'!F67:F69),0)</f>
        <v>3793</v>
      </c>
      <c r="H56" s="28">
        <f>IFERROR('Data Sheet'!G65-SUM('Data Sheet'!G67:G69),0)</f>
        <v>4035</v>
      </c>
      <c r="I56" s="28">
        <f>IFERROR('Data Sheet'!H65-SUM('Data Sheet'!H67:H69),0)</f>
        <v>4021</v>
      </c>
      <c r="J56" s="28">
        <f>IFERROR('Data Sheet'!I65-SUM('Data Sheet'!I67:I69),0)</f>
        <v>4377</v>
      </c>
      <c r="K56" s="28">
        <f>IFERROR('Data Sheet'!J65-SUM('Data Sheet'!J67:J69),0)</f>
        <v>4517</v>
      </c>
      <c r="L56" s="28">
        <f>IFERROR('Data Sheet'!K65-SUM('Data Sheet'!K67:K69),0)</f>
        <v>4938</v>
      </c>
    </row>
    <row r="57" spans="2:13" outlineLevel="1" x14ac:dyDescent="0.35">
      <c r="B57" s="63" t="s">
        <v>122</v>
      </c>
      <c r="C57" s="58">
        <f>IFERROR(SUM(C53:C56),0)</f>
        <v>7794</v>
      </c>
      <c r="D57" s="58">
        <f t="shared" ref="D57" si="38">IFERROR(SUM(D53:D56),0)</f>
        <v>10252</v>
      </c>
      <c r="E57" s="58">
        <f>IFERROR(SUM(E53:E56),0)</f>
        <v>10554</v>
      </c>
      <c r="F57" s="58">
        <f>IFERROR(SUM(F53:F56),0)</f>
        <v>10482</v>
      </c>
      <c r="G57" s="58">
        <f>IFERROR(SUM(G53:G56),0)</f>
        <v>11124</v>
      </c>
      <c r="H57" s="58">
        <f t="shared" ref="H57:L57" si="39">IFERROR(SUM(H53:H56),0)</f>
        <v>58932</v>
      </c>
      <c r="I57" s="58">
        <f t="shared" si="39"/>
        <v>60328</v>
      </c>
      <c r="J57" s="58">
        <f t="shared" si="39"/>
        <v>61069</v>
      </c>
      <c r="K57" s="58">
        <f t="shared" si="39"/>
        <v>63911</v>
      </c>
      <c r="L57" s="58">
        <f t="shared" si="39"/>
        <v>64092</v>
      </c>
    </row>
    <row r="58" spans="2:13" outlineLevel="1" x14ac:dyDescent="0.35">
      <c r="B58" s="1"/>
      <c r="C58" s="1"/>
      <c r="D58" s="1"/>
      <c r="E58" s="1"/>
      <c r="F58" s="1"/>
      <c r="G58" s="28"/>
      <c r="H58" s="28"/>
      <c r="I58" s="28"/>
      <c r="J58" s="28"/>
      <c r="K58" s="28"/>
      <c r="L58" s="28"/>
    </row>
    <row r="59" spans="2:13" outlineLevel="1" x14ac:dyDescent="0.35">
      <c r="B59" s="6" t="s">
        <v>78</v>
      </c>
      <c r="C59" s="28">
        <f>IFERROR('Data Sheet'!B67,0)</f>
        <v>1264</v>
      </c>
      <c r="D59" s="28">
        <f>IFERROR('Data Sheet'!C67,0)</f>
        <v>1085</v>
      </c>
      <c r="E59" s="28">
        <f>IFERROR('Data Sheet'!D67,0)</f>
        <v>1310</v>
      </c>
      <c r="F59" s="28">
        <f>IFERROR('Data Sheet'!E67,0)</f>
        <v>1816</v>
      </c>
      <c r="G59" s="28">
        <f>IFERROR('Data Sheet'!F67,0)</f>
        <v>1149</v>
      </c>
      <c r="H59" s="28">
        <f>IFERROR('Data Sheet'!G67,0)</f>
        <v>1758</v>
      </c>
      <c r="I59" s="28">
        <f>IFERROR('Data Sheet'!H67,0)</f>
        <v>2236</v>
      </c>
      <c r="J59" s="28">
        <f>IFERROR('Data Sheet'!I67,0)</f>
        <v>3079</v>
      </c>
      <c r="K59" s="28">
        <f>IFERROR('Data Sheet'!J67,0)</f>
        <v>2997</v>
      </c>
      <c r="L59" s="28">
        <f>IFERROR('Data Sheet'!K67,0)</f>
        <v>3819</v>
      </c>
    </row>
    <row r="60" spans="2:13" outlineLevel="1" x14ac:dyDescent="0.35">
      <c r="B60" s="6" t="s">
        <v>45</v>
      </c>
      <c r="C60" s="28">
        <f>IFERROR('Data Sheet'!B68,0)</f>
        <v>2726</v>
      </c>
      <c r="D60" s="28">
        <f>IFERROR('Data Sheet'!C68,0)</f>
        <v>2541</v>
      </c>
      <c r="E60" s="28">
        <f>IFERROR('Data Sheet'!D68,0)</f>
        <v>2513</v>
      </c>
      <c r="F60" s="28">
        <f>IFERROR('Data Sheet'!E68,0)</f>
        <v>2574</v>
      </c>
      <c r="G60" s="28">
        <f>IFERROR('Data Sheet'!F68,0)</f>
        <v>2767</v>
      </c>
      <c r="H60" s="28">
        <f>IFERROR('Data Sheet'!G68,0)</f>
        <v>3579</v>
      </c>
      <c r="I60" s="28">
        <f>IFERROR('Data Sheet'!H68,0)</f>
        <v>4096</v>
      </c>
      <c r="J60" s="28">
        <f>IFERROR('Data Sheet'!I68,0)</f>
        <v>4251</v>
      </c>
      <c r="K60" s="28">
        <f>IFERROR('Data Sheet'!J68,0)</f>
        <v>4022</v>
      </c>
      <c r="L60" s="28">
        <f>IFERROR('Data Sheet'!K68,0)</f>
        <v>4415</v>
      </c>
    </row>
    <row r="61" spans="2:13" outlineLevel="1" x14ac:dyDescent="0.35">
      <c r="B61" s="4" t="s">
        <v>87</v>
      </c>
      <c r="C61" s="28">
        <f>IFERROR('Data Sheet'!B69,0)</f>
        <v>3009</v>
      </c>
      <c r="D61" s="28">
        <f>IFERROR('Data Sheet'!C69,0)</f>
        <v>1828</v>
      </c>
      <c r="E61" s="28">
        <f>IFERROR('Data Sheet'!D69,0)</f>
        <v>3485</v>
      </c>
      <c r="F61" s="28">
        <f>IFERROR('Data Sheet'!E69,0)</f>
        <v>3757</v>
      </c>
      <c r="G61" s="28">
        <f>IFERROR('Data Sheet'!F69,0)</f>
        <v>5113</v>
      </c>
      <c r="H61" s="28">
        <f>IFERROR('Data Sheet'!G69,0)</f>
        <v>4471</v>
      </c>
      <c r="I61" s="28">
        <f>IFERROR('Data Sheet'!H69,0)</f>
        <v>3846</v>
      </c>
      <c r="J61" s="28">
        <f>IFERROR('Data Sheet'!I69,0)</f>
        <v>4678</v>
      </c>
      <c r="K61" s="28">
        <f>IFERROR('Data Sheet'!J69,0)</f>
        <v>7559</v>
      </c>
      <c r="L61" s="28">
        <f>IFERROR('Data Sheet'!K69,0)</f>
        <v>7554</v>
      </c>
    </row>
    <row r="62" spans="2:13" outlineLevel="1" x14ac:dyDescent="0.35">
      <c r="B62" s="64" t="s">
        <v>123</v>
      </c>
      <c r="C62" s="58">
        <f>IFERROR(SUM(C59:C61),0)</f>
        <v>6999</v>
      </c>
      <c r="D62" s="58">
        <f t="shared" ref="D62:F62" si="40">IFERROR(SUM(D59:D61),0)</f>
        <v>5454</v>
      </c>
      <c r="E62" s="58">
        <f t="shared" si="40"/>
        <v>7308</v>
      </c>
      <c r="F62" s="58">
        <f t="shared" si="40"/>
        <v>8147</v>
      </c>
      <c r="G62" s="58">
        <f>IFERROR(SUM(G59:G61),0)</f>
        <v>9029</v>
      </c>
      <c r="H62" s="58">
        <f t="shared" ref="H62:L62" si="41">IFERROR(SUM(H59:H61),0)</f>
        <v>9808</v>
      </c>
      <c r="I62" s="58">
        <f t="shared" si="41"/>
        <v>10178</v>
      </c>
      <c r="J62" s="58">
        <f t="shared" si="41"/>
        <v>12008</v>
      </c>
      <c r="K62" s="58">
        <f t="shared" si="41"/>
        <v>14578</v>
      </c>
      <c r="L62" s="58">
        <f t="shared" si="41"/>
        <v>15788</v>
      </c>
    </row>
    <row r="63" spans="2:13" outlineLevel="1" x14ac:dyDescent="0.35">
      <c r="G63" s="28"/>
      <c r="H63" s="28"/>
      <c r="I63" s="28"/>
      <c r="J63" s="28"/>
      <c r="K63" s="28"/>
      <c r="L63" s="28"/>
    </row>
    <row r="64" spans="2:13" outlineLevel="1" x14ac:dyDescent="0.35">
      <c r="B64" s="64" t="s">
        <v>124</v>
      </c>
      <c r="C64" s="64">
        <f>IFERROR(SUM(C57,C62),0)</f>
        <v>14793</v>
      </c>
      <c r="D64" s="64">
        <f t="shared" ref="D64:F64" si="42">IFERROR(SUM(D57,D62),0)</f>
        <v>15706</v>
      </c>
      <c r="E64" s="64">
        <f t="shared" si="42"/>
        <v>17862</v>
      </c>
      <c r="F64" s="64">
        <f t="shared" si="42"/>
        <v>18629</v>
      </c>
      <c r="G64" s="58">
        <f>IFERROR(SUM(G57,G62),0)</f>
        <v>20153</v>
      </c>
      <c r="H64" s="58">
        <f t="shared" ref="H64:L64" si="43">IFERROR(SUM(H57,H62),0)</f>
        <v>68740</v>
      </c>
      <c r="I64" s="58">
        <f t="shared" si="43"/>
        <v>70506</v>
      </c>
      <c r="J64" s="58">
        <f t="shared" si="43"/>
        <v>73077</v>
      </c>
      <c r="K64" s="58">
        <f t="shared" si="43"/>
        <v>78489</v>
      </c>
      <c r="L64" s="58">
        <f t="shared" si="43"/>
        <v>79880</v>
      </c>
    </row>
    <row r="65" spans="1:14" outlineLevel="1" x14ac:dyDescent="0.35"/>
    <row r="66" spans="1:14" outlineLevel="1" x14ac:dyDescent="0.35">
      <c r="B66" t="s">
        <v>125</v>
      </c>
      <c r="C66" t="b">
        <f>C64=C51</f>
        <v>1</v>
      </c>
      <c r="D66" t="b">
        <f t="shared" ref="D66:F66" si="44">D64=D51</f>
        <v>1</v>
      </c>
      <c r="E66" t="b">
        <f t="shared" si="44"/>
        <v>1</v>
      </c>
      <c r="F66" t="b">
        <f t="shared" si="44"/>
        <v>1</v>
      </c>
      <c r="G66" t="b">
        <f>G64=G51</f>
        <v>1</v>
      </c>
      <c r="H66" t="b">
        <f t="shared" ref="H66:L66" si="45">H64=H51</f>
        <v>1</v>
      </c>
      <c r="I66" t="b">
        <f t="shared" si="45"/>
        <v>1</v>
      </c>
      <c r="J66" t="b">
        <f t="shared" si="45"/>
        <v>1</v>
      </c>
      <c r="K66" t="b">
        <f t="shared" si="45"/>
        <v>1</v>
      </c>
      <c r="L66" t="b">
        <f t="shared" si="45"/>
        <v>1</v>
      </c>
    </row>
    <row r="68" spans="1:14" x14ac:dyDescent="0.35">
      <c r="A68" t="s">
        <v>96</v>
      </c>
      <c r="B68" s="38" t="s">
        <v>148</v>
      </c>
      <c r="C68" s="38"/>
      <c r="D68" s="38"/>
      <c r="E68" s="38"/>
      <c r="F68" s="38"/>
      <c r="G68" s="37"/>
      <c r="H68" s="37"/>
      <c r="I68" s="37"/>
      <c r="J68" s="37"/>
      <c r="K68" s="37"/>
      <c r="L68" s="37"/>
      <c r="M68" s="37"/>
      <c r="N68" s="37"/>
    </row>
    <row r="69" spans="1:14" outlineLevel="1" x14ac:dyDescent="0.35">
      <c r="B69" s="2" t="s">
        <v>150</v>
      </c>
      <c r="C69" s="2"/>
      <c r="D69" s="2"/>
      <c r="E69" s="2"/>
      <c r="F69" s="2"/>
    </row>
    <row r="70" spans="1:14" outlineLevel="1" x14ac:dyDescent="0.35">
      <c r="B70" t="s">
        <v>126</v>
      </c>
      <c r="C70" s="28">
        <f>IFERROR('[1]Cash flow '!C4,0)</f>
        <v>6025</v>
      </c>
      <c r="D70" s="28">
        <f>IFERROR('[1]Cash flow '!D4,0)</f>
        <v>6512</v>
      </c>
      <c r="E70" s="28">
        <f>IFERROR('[1]Cash flow '!E4,0)</f>
        <v>7485</v>
      </c>
      <c r="F70" s="28">
        <f>IFERROR('[1]Cash flow '!F4,0)</f>
        <v>8909</v>
      </c>
      <c r="G70" s="28">
        <f>IFERROR('[1]Cash flow '!G4,0)</f>
        <v>9723</v>
      </c>
      <c r="H70" s="28">
        <f>IFERROR('[1]Cash flow '!H4,0)</f>
        <v>11672</v>
      </c>
      <c r="I70" s="28">
        <f>IFERROR('[1]Cash flow '!I4,0)</f>
        <v>12829</v>
      </c>
      <c r="J70" s="28">
        <f>IFERROR('[1]Cash flow '!J4,0)</f>
        <v>14089</v>
      </c>
      <c r="K70" s="28">
        <f>IFERROR('[1]Cash flow '!K4,0)</f>
        <v>14537</v>
      </c>
      <c r="L70" s="28">
        <f>IFERROR('[1]Cash flow '!L4,0)</f>
        <v>14942</v>
      </c>
    </row>
    <row r="71" spans="1:14" outlineLevel="1" x14ac:dyDescent="0.35">
      <c r="B71" t="s">
        <v>78</v>
      </c>
      <c r="C71" s="28">
        <f>IFERROR('[1]Cash flow '!C5,0)</f>
        <v>-257</v>
      </c>
      <c r="D71" s="28">
        <f>IFERROR('[1]Cash flow '!D5,0)</f>
        <v>173</v>
      </c>
      <c r="E71" s="28">
        <f>IFERROR('[1]Cash flow '!E5,0)</f>
        <v>0</v>
      </c>
      <c r="F71" s="28">
        <f>IFERROR('[1]Cash flow '!F5,0)</f>
        <v>0</v>
      </c>
      <c r="G71" s="28">
        <f>IFERROR('[1]Cash flow '!G5,0)</f>
        <v>0</v>
      </c>
      <c r="H71" s="28">
        <f>IFERROR('[1]Cash flow '!H5,0)</f>
        <v>0</v>
      </c>
      <c r="I71" s="28">
        <f>IFERROR('[1]Cash flow '!I5,0)</f>
        <v>0</v>
      </c>
      <c r="J71" s="28">
        <f>IFERROR('[1]Cash flow '!J5,0)</f>
        <v>0</v>
      </c>
      <c r="K71" s="28">
        <f>IFERROR('[1]Cash flow '!K5,0)</f>
        <v>0</v>
      </c>
      <c r="L71" s="28">
        <f>IFERROR('[1]Cash flow '!L5,0)</f>
        <v>0</v>
      </c>
    </row>
    <row r="72" spans="1:14" outlineLevel="1" x14ac:dyDescent="0.35">
      <c r="B72" t="s">
        <v>45</v>
      </c>
      <c r="C72" s="28">
        <f>IFERROR('[1]Cash flow '!C6,0)</f>
        <v>89</v>
      </c>
      <c r="D72" s="28">
        <f>IFERROR('[1]Cash flow '!D6,0)</f>
        <v>37</v>
      </c>
      <c r="E72" s="28">
        <f>IFERROR('[1]Cash flow '!E6,0)</f>
        <v>-146</v>
      </c>
      <c r="F72" s="28">
        <f>IFERROR('[1]Cash flow '!F6,0)</f>
        <v>-195</v>
      </c>
      <c r="G72" s="28">
        <f>IFERROR('[1]Cash flow '!G6,0)</f>
        <v>-331</v>
      </c>
      <c r="H72" s="28">
        <f>IFERROR('[1]Cash flow '!H6,0)</f>
        <v>-543</v>
      </c>
      <c r="I72" s="28">
        <f>IFERROR('[1]Cash flow '!I6,0)</f>
        <v>-758</v>
      </c>
      <c r="J72" s="28">
        <f>IFERROR('[1]Cash flow '!J6,0)</f>
        <v>-339</v>
      </c>
      <c r="K72" s="28">
        <f>IFERROR('[1]Cash flow '!K6,0)</f>
        <v>74</v>
      </c>
      <c r="L72" s="28">
        <f>IFERROR('[1]Cash flow '!L6,0)</f>
        <v>-584</v>
      </c>
    </row>
    <row r="73" spans="1:14" outlineLevel="1" x14ac:dyDescent="0.35">
      <c r="B73" t="s">
        <v>127</v>
      </c>
      <c r="C73" s="28">
        <f>IFERROR('[1]Cash flow '!C7,0)</f>
        <v>164</v>
      </c>
      <c r="D73" s="28">
        <f>IFERROR('[1]Cash flow '!D7,0)</f>
        <v>501</v>
      </c>
      <c r="E73" s="28">
        <f>IFERROR('[1]Cash flow '!E7,0)</f>
        <v>0</v>
      </c>
      <c r="F73" s="28">
        <f>IFERROR('[1]Cash flow '!F7,0)</f>
        <v>0</v>
      </c>
      <c r="G73" s="28">
        <f>IFERROR('[1]Cash flow '!G7,0)</f>
        <v>0</v>
      </c>
      <c r="H73" s="28">
        <f>IFERROR('[1]Cash flow '!H7,0)</f>
        <v>0</v>
      </c>
      <c r="I73" s="28">
        <f>IFERROR('[1]Cash flow '!I7,0)</f>
        <v>0</v>
      </c>
      <c r="J73" s="28">
        <f>IFERROR('[1]Cash flow '!J7,0)</f>
        <v>0</v>
      </c>
      <c r="K73" s="28">
        <f>IFERROR('[1]Cash flow '!K7,0)</f>
        <v>0</v>
      </c>
      <c r="L73" s="28">
        <f>IFERROR('[1]Cash flow '!L7,0)</f>
        <v>0</v>
      </c>
    </row>
    <row r="74" spans="1:14" outlineLevel="1" x14ac:dyDescent="0.35">
      <c r="B74" t="s">
        <v>128</v>
      </c>
      <c r="C74" s="28">
        <f>IFERROR('[1]Cash flow '!C8,0)</f>
        <v>0</v>
      </c>
      <c r="D74" s="28">
        <f>IFERROR('[1]Cash flow '!D8,0)</f>
        <v>0</v>
      </c>
      <c r="E74" s="28">
        <f>IFERROR('[1]Cash flow '!E8,0)</f>
        <v>0</v>
      </c>
      <c r="F74" s="28">
        <f>IFERROR('[1]Cash flow '!F8,0)</f>
        <v>0</v>
      </c>
      <c r="G74" s="28">
        <f>IFERROR('[1]Cash flow '!G8,0)</f>
        <v>0</v>
      </c>
      <c r="H74" s="28">
        <f>IFERROR('[1]Cash flow '!H8,0)</f>
        <v>0</v>
      </c>
      <c r="I74" s="28">
        <f>IFERROR('[1]Cash flow '!I8,0)</f>
        <v>0</v>
      </c>
      <c r="J74" s="28">
        <f>IFERROR('[1]Cash flow '!J8,0)</f>
        <v>0</v>
      </c>
      <c r="K74" s="28">
        <f>IFERROR('[1]Cash flow '!K8,0)</f>
        <v>0</v>
      </c>
      <c r="L74" s="28">
        <f>IFERROR('[1]Cash flow '!L8,0)</f>
        <v>0</v>
      </c>
    </row>
    <row r="75" spans="1:14" outlineLevel="1" x14ac:dyDescent="0.35">
      <c r="B75" t="s">
        <v>129</v>
      </c>
      <c r="C75" s="28">
        <f>IFERROR('[1]Cash flow '!C9,0)</f>
        <v>-77</v>
      </c>
      <c r="D75" s="28">
        <f>IFERROR('[1]Cash flow '!D9,0)</f>
        <v>-99</v>
      </c>
      <c r="E75" s="28">
        <f>IFERROR('[1]Cash flow '!E9,0)</f>
        <v>982</v>
      </c>
      <c r="F75" s="28">
        <f>IFERROR('[1]Cash flow '!F9,0)</f>
        <v>-147</v>
      </c>
      <c r="G75" s="28">
        <f>IFERROR('[1]Cash flow '!G9,0)</f>
        <v>742</v>
      </c>
      <c r="H75" s="28">
        <f>IFERROR('[1]Cash flow '!H9,0)</f>
        <v>442</v>
      </c>
      <c r="I75" s="28">
        <f>IFERROR('[1]Cash flow '!I9,0)</f>
        <v>-242</v>
      </c>
      <c r="J75" s="28">
        <f>IFERROR('[1]Cash flow '!J9,0)</f>
        <v>-621</v>
      </c>
      <c r="K75" s="28">
        <f>IFERROR('[1]Cash flow '!K9,0)</f>
        <v>1239</v>
      </c>
      <c r="L75" s="28">
        <f>IFERROR('[1]Cash flow '!L9,0)</f>
        <v>-204</v>
      </c>
    </row>
    <row r="76" spans="1:14" outlineLevel="1" x14ac:dyDescent="0.35">
      <c r="B76" t="s">
        <v>130</v>
      </c>
      <c r="C76" s="28">
        <f>IFERROR('[1]Cash flow '!C10,0)</f>
        <v>-81</v>
      </c>
      <c r="D76" s="28">
        <f>IFERROR('[1]Cash flow '!D10,0)</f>
        <v>566</v>
      </c>
      <c r="E76" s="28">
        <f>IFERROR('[1]Cash flow '!E10,0)</f>
        <v>836</v>
      </c>
      <c r="F76" s="28">
        <f>IFERROR('[1]Cash flow '!F10,0)</f>
        <v>-342</v>
      </c>
      <c r="G76" s="28">
        <f>IFERROR('[1]Cash flow '!G10,0)</f>
        <v>411</v>
      </c>
      <c r="H76" s="28">
        <f>IFERROR('[1]Cash flow '!H10,0)</f>
        <v>-101</v>
      </c>
      <c r="I76" s="28">
        <f>IFERROR('[1]Cash flow '!I10,0)</f>
        <v>-1000</v>
      </c>
      <c r="J76" s="28">
        <f>IFERROR('[1]Cash flow '!J10,0)</f>
        <v>-960</v>
      </c>
      <c r="K76" s="28">
        <f>IFERROR('[1]Cash flow '!K10,0)</f>
        <v>1313</v>
      </c>
      <c r="L76" s="28">
        <f>IFERROR('[1]Cash flow '!L10,0)</f>
        <v>-788</v>
      </c>
    </row>
    <row r="77" spans="1:14" outlineLevel="1" x14ac:dyDescent="0.35">
      <c r="B77" t="s">
        <v>131</v>
      </c>
      <c r="C77" s="28">
        <f>IFERROR('[1]Cash flow '!C11,0)</f>
        <v>-1765</v>
      </c>
      <c r="D77" s="28">
        <f>IFERROR('[1]Cash flow '!D11,0)</f>
        <v>-1859</v>
      </c>
      <c r="E77" s="28">
        <f>IFERROR('[1]Cash flow '!E11,0)</f>
        <v>-2264</v>
      </c>
      <c r="F77" s="28">
        <f>IFERROR('[1]Cash flow '!F11,0)</f>
        <v>-2767</v>
      </c>
      <c r="G77" s="28">
        <f>IFERROR('[1]Cash flow '!G11,0)</f>
        <v>-2505</v>
      </c>
      <c r="H77" s="28">
        <f>IFERROR('[1]Cash flow '!H11,0)</f>
        <v>-2407</v>
      </c>
      <c r="I77" s="28">
        <f>IFERROR('[1]Cash flow '!I11,0)</f>
        <v>-2784</v>
      </c>
      <c r="J77" s="28">
        <f>IFERROR('[1]Cash flow '!J11,0)</f>
        <v>-3138</v>
      </c>
      <c r="K77" s="28">
        <f>IFERROR('[1]Cash flow '!K11,0)</f>
        <v>-381</v>
      </c>
      <c r="L77" s="28">
        <f>IFERROR('[1]Cash flow '!L11,0)</f>
        <v>-2268</v>
      </c>
    </row>
    <row r="78" spans="1:14" outlineLevel="1" x14ac:dyDescent="0.35">
      <c r="B78" t="s">
        <v>202</v>
      </c>
      <c r="C78" s="28">
        <f>'[1]Cash flow '!C12</f>
        <v>-8</v>
      </c>
      <c r="D78" s="28">
        <f>'[1]Cash flow '!D12</f>
        <v>-21</v>
      </c>
      <c r="E78" s="28">
        <f>'[1]Cash flow '!E12</f>
        <v>0</v>
      </c>
      <c r="F78" s="28">
        <f>'[1]Cash flow '!F12</f>
        <v>0</v>
      </c>
      <c r="G78" s="28">
        <f>'[1]Cash flow '!G12</f>
        <v>0</v>
      </c>
      <c r="H78" s="28">
        <f>'[1]Cash flow '!H12</f>
        <v>0</v>
      </c>
      <c r="I78" s="28">
        <f>'[1]Cash flow '!I12</f>
        <v>0</v>
      </c>
      <c r="J78" s="28">
        <f>'[1]Cash flow '!J12</f>
        <v>0</v>
      </c>
      <c r="K78" s="28">
        <f>'[1]Cash flow '!K12</f>
        <v>0</v>
      </c>
      <c r="L78" s="28">
        <f>'[1]Cash flow '!L12</f>
        <v>0</v>
      </c>
    </row>
    <row r="79" spans="1:14" outlineLevel="1" x14ac:dyDescent="0.35">
      <c r="B79" t="s">
        <v>203</v>
      </c>
      <c r="C79" s="28">
        <f>'[1]Cash flow '!C13</f>
        <v>0</v>
      </c>
      <c r="D79" s="28">
        <f>'[1]Cash flow '!D13</f>
        <v>-13</v>
      </c>
      <c r="E79" s="28">
        <f>'[1]Cash flow '!E13</f>
        <v>2</v>
      </c>
      <c r="F79" s="28">
        <f>'[1]Cash flow '!F13</f>
        <v>0</v>
      </c>
      <c r="G79" s="28">
        <f>'[1]Cash flow '!G13</f>
        <v>-6</v>
      </c>
      <c r="H79" s="28">
        <f>'[1]Cash flow '!H13</f>
        <v>-1</v>
      </c>
      <c r="I79" s="28">
        <f>'[1]Cash flow '!I13</f>
        <v>3</v>
      </c>
      <c r="J79" s="28">
        <f>'[1]Cash flow '!J13</f>
        <v>0</v>
      </c>
      <c r="K79" s="28">
        <f>'[1]Cash flow '!K13</f>
        <v>0</v>
      </c>
      <c r="L79" s="28">
        <f>'[1]Cash flow '!L13</f>
        <v>0</v>
      </c>
    </row>
    <row r="80" spans="1:14" outlineLevel="1" x14ac:dyDescent="0.35">
      <c r="B80" s="150" t="s">
        <v>149</v>
      </c>
      <c r="C80" s="226">
        <f>IFERROR(SUM(C70:C79),0)</f>
        <v>4090</v>
      </c>
      <c r="D80" s="226">
        <f t="shared" ref="D80:L80" si="46">IFERROR(SUM(D70:D79),0)</f>
        <v>5797</v>
      </c>
      <c r="E80" s="226">
        <f t="shared" si="46"/>
        <v>6895</v>
      </c>
      <c r="F80" s="226">
        <f t="shared" si="46"/>
        <v>5458</v>
      </c>
      <c r="G80" s="226">
        <f t="shared" si="46"/>
        <v>8034</v>
      </c>
      <c r="H80" s="226">
        <f t="shared" si="46"/>
        <v>9062</v>
      </c>
      <c r="I80" s="226">
        <f t="shared" si="46"/>
        <v>8048</v>
      </c>
      <c r="J80" s="226">
        <f t="shared" si="46"/>
        <v>9031</v>
      </c>
      <c r="K80" s="226">
        <f t="shared" si="46"/>
        <v>16782</v>
      </c>
      <c r="L80" s="226">
        <f t="shared" si="46"/>
        <v>11098</v>
      </c>
      <c r="M80" s="166"/>
      <c r="N80" s="166"/>
    </row>
    <row r="81" spans="2:14" outlineLevel="1" x14ac:dyDescent="0.35"/>
    <row r="82" spans="2:14" outlineLevel="1" x14ac:dyDescent="0.35">
      <c r="B82" s="2" t="s">
        <v>153</v>
      </c>
      <c r="C82" s="2"/>
      <c r="D82" s="2"/>
      <c r="E82" s="2"/>
      <c r="F82" s="2"/>
    </row>
    <row r="83" spans="2:14" outlineLevel="1" x14ac:dyDescent="0.35">
      <c r="B83" t="s">
        <v>132</v>
      </c>
      <c r="C83" s="28">
        <f>IFERROR('[1]Cash flow '!C15,0)</f>
        <v>-810</v>
      </c>
      <c r="D83" s="28">
        <f>IFERROR('[1]Cash flow '!D15,0)</f>
        <v>-1113</v>
      </c>
      <c r="E83" s="28">
        <f>IFERROR('[1]Cash flow '!E15,0)</f>
        <v>-895</v>
      </c>
      <c r="F83" s="28">
        <f>IFERROR('[1]Cash flow '!F15,0)</f>
        <v>-767</v>
      </c>
      <c r="G83" s="28">
        <f>IFERROR('[1]Cash flow '!G15,0)</f>
        <v>-862</v>
      </c>
      <c r="H83" s="28">
        <f>IFERROR('[1]Cash flow '!H15,0)</f>
        <v>-4163</v>
      </c>
      <c r="I83" s="28">
        <f>IFERROR('[1]Cash flow '!I15,0)</f>
        <v>-1228</v>
      </c>
      <c r="J83" s="28">
        <f>IFERROR('[1]Cash flow '!J15,0)</f>
        <v>-1192</v>
      </c>
      <c r="K83" s="28">
        <f>IFERROR('[1]Cash flow '!K15,0)</f>
        <v>-1477</v>
      </c>
      <c r="L83" s="28">
        <f>IFERROR('[1]Cash flow '!L15,0)</f>
        <v>-1275</v>
      </c>
    </row>
    <row r="84" spans="2:14" outlineLevel="1" x14ac:dyDescent="0.35">
      <c r="B84" t="s">
        <v>133</v>
      </c>
      <c r="C84" s="28">
        <f>IFERROR('[1]Cash flow '!C16,0)</f>
        <v>99</v>
      </c>
      <c r="D84" s="28">
        <f>IFERROR('[1]Cash flow '!D16,0)</f>
        <v>176</v>
      </c>
      <c r="E84" s="28">
        <f>IFERROR('[1]Cash flow '!E16,0)</f>
        <v>32</v>
      </c>
      <c r="F84" s="28">
        <f>IFERROR('[1]Cash flow '!F16,0)</f>
        <v>13</v>
      </c>
      <c r="G84" s="28">
        <f>IFERROR('[1]Cash flow '!G16,0)</f>
        <v>52</v>
      </c>
      <c r="H84" s="28">
        <f>IFERROR('[1]Cash flow '!H16,0)</f>
        <v>97</v>
      </c>
      <c r="I84" s="28">
        <f>IFERROR('[1]Cash flow '!I16,0)</f>
        <v>175</v>
      </c>
      <c r="J84" s="28">
        <f>IFERROR('[1]Cash flow '!J16,0)</f>
        <v>181</v>
      </c>
      <c r="K84" s="28">
        <f>IFERROR('[1]Cash flow '!K16,0)</f>
        <v>20</v>
      </c>
      <c r="L84" s="28">
        <f>IFERROR('[1]Cash flow '!L16,0)</f>
        <v>13</v>
      </c>
    </row>
    <row r="85" spans="2:14" outlineLevel="1" x14ac:dyDescent="0.35">
      <c r="B85" t="s">
        <v>134</v>
      </c>
      <c r="C85" s="28">
        <f>IFERROR('[1]Cash flow '!C17,0)</f>
        <v>-20666</v>
      </c>
      <c r="D85" s="28">
        <f>IFERROR('[1]Cash flow '!D17,0)</f>
        <v>-31214</v>
      </c>
      <c r="E85" s="28">
        <f>IFERROR('[1]Cash flow '!E17,0)</f>
        <v>-51855</v>
      </c>
      <c r="F85" s="28">
        <f>IFERROR('[1]Cash flow '!F17,0)</f>
        <v>-74365</v>
      </c>
      <c r="G85" s="28">
        <f>IFERROR('[1]Cash flow '!G17,0)</f>
        <v>-36090</v>
      </c>
      <c r="H85" s="28">
        <f>IFERROR('[1]Cash flow '!H17,0)</f>
        <v>-39920</v>
      </c>
      <c r="I85" s="28">
        <f>IFERROR('[1]Cash flow '!I17,0)</f>
        <v>-48522</v>
      </c>
      <c r="J85" s="28">
        <f>IFERROR('[1]Cash flow '!J17,0)</f>
        <v>-22649</v>
      </c>
      <c r="K85" s="28">
        <f>IFERROR('[1]Cash flow '!K17,0)</f>
        <v>-21337</v>
      </c>
      <c r="L85" s="28">
        <f>IFERROR('[1]Cash flow '!L17,0)</f>
        <v>-22957</v>
      </c>
    </row>
    <row r="86" spans="2:14" outlineLevel="1" x14ac:dyDescent="0.35">
      <c r="B86" t="s">
        <v>135</v>
      </c>
      <c r="C86" s="28">
        <f>IFERROR('[1]Cash flow '!C18,0)</f>
        <v>20937</v>
      </c>
      <c r="D86" s="28">
        <f>IFERROR('[1]Cash flow '!D18,0)</f>
        <v>30083</v>
      </c>
      <c r="E86" s="28">
        <f>IFERROR('[1]Cash flow '!E18,0)</f>
        <v>52897</v>
      </c>
      <c r="F86" s="28">
        <f>IFERROR('[1]Cash flow '!F18,0)</f>
        <v>74691</v>
      </c>
      <c r="G86" s="28">
        <f>IFERROR('[1]Cash flow '!G18,0)</f>
        <v>37690</v>
      </c>
      <c r="H86" s="28">
        <f>IFERROR('[1]Cash flow '!H18,0)</f>
        <v>38486</v>
      </c>
      <c r="I86" s="28">
        <f>IFERROR('[1]Cash flow '!I18,0)</f>
        <v>47786</v>
      </c>
      <c r="J86" s="28">
        <f>IFERROR('[1]Cash flow '!J18,0)</f>
        <v>23462</v>
      </c>
      <c r="K86" s="28">
        <f>IFERROR('[1]Cash flow '!K18,0)</f>
        <v>19846</v>
      </c>
      <c r="L86" s="28">
        <f>IFERROR('[1]Cash flow '!L18,0)</f>
        <v>23987</v>
      </c>
    </row>
    <row r="87" spans="2:14" outlineLevel="1" x14ac:dyDescent="0.35">
      <c r="B87" t="s">
        <v>136</v>
      </c>
      <c r="C87" s="28">
        <f>IFERROR('[1]Cash flow '!C19,0)</f>
        <v>315</v>
      </c>
      <c r="D87" s="28">
        <f>IFERROR('[1]Cash flow '!D19,0)</f>
        <v>264</v>
      </c>
      <c r="E87" s="28">
        <f>IFERROR('[1]Cash flow '!E19,0)</f>
        <v>297</v>
      </c>
      <c r="F87" s="28">
        <f>IFERROR('[1]Cash flow '!F19,0)</f>
        <v>289</v>
      </c>
      <c r="G87" s="28">
        <f>IFERROR('[1]Cash flow '!G19,0)</f>
        <v>351</v>
      </c>
      <c r="H87" s="28">
        <f>IFERROR('[1]Cash flow '!H19,0)</f>
        <v>277</v>
      </c>
      <c r="I87" s="28">
        <f>IFERROR('[1]Cash flow '!I19,0)</f>
        <v>161</v>
      </c>
      <c r="J87" s="28">
        <f>IFERROR('[1]Cash flow '!J19,0)</f>
        <v>259</v>
      </c>
      <c r="K87" s="28">
        <f>IFERROR('[1]Cash flow '!K19,0)</f>
        <v>425</v>
      </c>
      <c r="L87" s="28">
        <f>IFERROR('[1]Cash flow '!L19,0)</f>
        <v>835</v>
      </c>
    </row>
    <row r="88" spans="2:14" outlineLevel="1" x14ac:dyDescent="0.35">
      <c r="B88" t="s">
        <v>137</v>
      </c>
      <c r="C88" s="28">
        <f>IFERROR('[1]Cash flow '!C20,0)</f>
        <v>33</v>
      </c>
      <c r="D88" s="28">
        <f>IFERROR('[1]Cash flow '!D20,0)</f>
        <v>14</v>
      </c>
      <c r="E88" s="28">
        <f>IFERROR('[1]Cash flow '!E20,0)</f>
        <v>0</v>
      </c>
      <c r="F88" s="28">
        <f>IFERROR('[1]Cash flow '!F20,0)</f>
        <v>1</v>
      </c>
      <c r="G88" s="28">
        <f>IFERROR('[1]Cash flow '!G20,0)</f>
        <v>1</v>
      </c>
      <c r="H88" s="28">
        <f>IFERROR('[1]Cash flow '!H20,0)</f>
        <v>1</v>
      </c>
      <c r="I88" s="28">
        <f>IFERROR('[1]Cash flow '!I20,0)</f>
        <v>1</v>
      </c>
      <c r="J88" s="28">
        <f>IFERROR('[1]Cash flow '!J20,0)</f>
        <v>2</v>
      </c>
      <c r="K88" s="28">
        <f>IFERROR('[1]Cash flow '!K20,0)</f>
        <v>3</v>
      </c>
      <c r="L88" s="28">
        <f>IFERROR('[1]Cash flow '!L20,0)</f>
        <v>0</v>
      </c>
    </row>
    <row r="89" spans="2:14" outlineLevel="1" x14ac:dyDescent="0.35">
      <c r="B89" t="s">
        <v>208</v>
      </c>
      <c r="C89" s="28">
        <f>IFERROR('[1]Cash flow '!C21,0)</f>
        <v>0</v>
      </c>
      <c r="D89" s="28">
        <f>IFERROR('[1]Cash flow '!D21,0)</f>
        <v>0</v>
      </c>
      <c r="E89" s="28">
        <f>IFERROR('[1]Cash flow '!E21,0)</f>
        <v>0</v>
      </c>
      <c r="F89" s="28">
        <f>IFERROR('[1]Cash flow '!F21,0)</f>
        <v>0</v>
      </c>
      <c r="G89" s="28">
        <f>IFERROR('[1]Cash flow '!G21,0)</f>
        <v>0</v>
      </c>
      <c r="H89" s="28">
        <f>IFERROR('[1]Cash flow '!H21,0)</f>
        <v>0</v>
      </c>
      <c r="I89" s="28">
        <f>IFERROR('[1]Cash flow '!I21,0)</f>
        <v>0</v>
      </c>
      <c r="J89" s="28">
        <f>IFERROR('[1]Cash flow '!J21,0)</f>
        <v>0</v>
      </c>
      <c r="K89" s="28">
        <f>IFERROR('[1]Cash flow '!K21,0)</f>
        <v>0</v>
      </c>
      <c r="L89" s="28">
        <f>IFERROR('[1]Cash flow '!L21,0)</f>
        <v>0</v>
      </c>
    </row>
    <row r="90" spans="2:14" outlineLevel="1" x14ac:dyDescent="0.35">
      <c r="B90" t="s">
        <v>209</v>
      </c>
      <c r="C90" s="28">
        <f>IFERROR('[1]Cash flow '!C22,0)</f>
        <v>0</v>
      </c>
      <c r="D90" s="28">
        <f>IFERROR('[1]Cash flow '!D22,0)</f>
        <v>0</v>
      </c>
      <c r="E90" s="28">
        <f>IFERROR('[1]Cash flow '!E22,0)</f>
        <v>0</v>
      </c>
      <c r="F90" s="28">
        <f>IFERROR('[1]Cash flow '!F22,0)</f>
        <v>0</v>
      </c>
      <c r="G90" s="28">
        <f>IFERROR('[1]Cash flow '!G22,0)</f>
        <v>0</v>
      </c>
      <c r="H90" s="28">
        <f>IFERROR('[1]Cash flow '!H22,0)</f>
        <v>0</v>
      </c>
      <c r="I90" s="28">
        <f>IFERROR('[1]Cash flow '!I22,0)</f>
        <v>0</v>
      </c>
      <c r="J90" s="28">
        <f>IFERROR('[1]Cash flow '!J22,0)</f>
        <v>0</v>
      </c>
      <c r="K90" s="28">
        <f>IFERROR('[1]Cash flow '!K22,0)</f>
        <v>0</v>
      </c>
      <c r="L90" s="28">
        <f>IFERROR('[1]Cash flow '!L22,0)</f>
        <v>0</v>
      </c>
    </row>
    <row r="91" spans="2:14" outlineLevel="1" x14ac:dyDescent="0.35">
      <c r="B91" t="s">
        <v>138</v>
      </c>
      <c r="C91" s="28">
        <f>IFERROR('[1]Cash flow '!C23,0)</f>
        <v>161</v>
      </c>
      <c r="D91" s="28">
        <f>IFERROR('[1]Cash flow '!D23,0)</f>
        <v>20</v>
      </c>
      <c r="E91" s="28">
        <f>IFERROR('[1]Cash flow '!E23,0)</f>
        <v>73</v>
      </c>
      <c r="F91" s="28">
        <f>IFERROR('[1]Cash flow '!F23,0)</f>
        <v>0</v>
      </c>
      <c r="G91" s="28">
        <f>IFERROR('[1]Cash flow '!G23,0)</f>
        <v>0</v>
      </c>
      <c r="H91" s="28">
        <f>IFERROR('[1]Cash flow '!H23,0)</f>
        <v>0</v>
      </c>
      <c r="I91" s="28">
        <f>IFERROR('[1]Cash flow '!I23,0)</f>
        <v>0</v>
      </c>
      <c r="J91" s="28">
        <f>IFERROR('[1]Cash flow '!J23,0)</f>
        <v>0</v>
      </c>
      <c r="K91" s="28">
        <f>IFERROR('[1]Cash flow '!K23,0)</f>
        <v>0</v>
      </c>
      <c r="L91" s="28">
        <f>IFERROR('[1]Cash flow '!L23,0)</f>
        <v>0</v>
      </c>
    </row>
    <row r="92" spans="2:14" outlineLevel="1" x14ac:dyDescent="0.35">
      <c r="B92" t="s">
        <v>139</v>
      </c>
      <c r="C92" s="28">
        <f>IFERROR('[1]Cash flow '!C24,0)</f>
        <v>0</v>
      </c>
      <c r="D92" s="28">
        <f>IFERROR('[1]Cash flow '!D24,0)</f>
        <v>0</v>
      </c>
      <c r="E92" s="28">
        <f>IFERROR('[1]Cash flow '!E24,0)</f>
        <v>0</v>
      </c>
      <c r="F92" s="28">
        <f>IFERROR('[1]Cash flow '!F24,0)</f>
        <v>0</v>
      </c>
      <c r="G92" s="28">
        <f>IFERROR('[1]Cash flow '!G24,0)</f>
        <v>0</v>
      </c>
      <c r="H92" s="28">
        <f>IFERROR('[1]Cash flow '!H24,0)</f>
        <v>0</v>
      </c>
      <c r="I92" s="28">
        <f>IFERROR('[1]Cash flow '!I24,0)</f>
        <v>0</v>
      </c>
      <c r="J92" s="28">
        <f>IFERROR('[1]Cash flow '!J24,0)</f>
        <v>-334</v>
      </c>
      <c r="K92" s="28">
        <f>IFERROR('[1]Cash flow '!K24,0)</f>
        <v>0</v>
      </c>
      <c r="L92" s="28">
        <f>IFERROR('[1]Cash flow '!L24,0)</f>
        <v>0</v>
      </c>
    </row>
    <row r="93" spans="2:14" outlineLevel="1" x14ac:dyDescent="0.35">
      <c r="B93" t="s">
        <v>140</v>
      </c>
      <c r="C93" s="28">
        <f>IFERROR('[1]Cash flow '!C25,0)</f>
        <v>-351</v>
      </c>
      <c r="D93" s="28">
        <f>IFERROR('[1]Cash flow '!D25,0)</f>
        <v>597</v>
      </c>
      <c r="E93" s="28">
        <f>IFERROR('[1]Cash flow '!E25,0)</f>
        <v>-1612</v>
      </c>
      <c r="F93" s="28">
        <f>IFERROR('[1]Cash flow '!F25,0)</f>
        <v>-300</v>
      </c>
      <c r="G93" s="28">
        <f>IFERROR('[1]Cash flow '!G25,0)</f>
        <v>649</v>
      </c>
      <c r="H93" s="28">
        <f>IFERROR('[1]Cash flow '!H25,0)</f>
        <v>3994</v>
      </c>
      <c r="I93" s="28">
        <f>IFERROR('[1]Cash flow '!I25,0)</f>
        <v>-101</v>
      </c>
      <c r="J93" s="28">
        <f>IFERROR('[1]Cash flow '!J25,0)</f>
        <v>-1213</v>
      </c>
      <c r="K93" s="28">
        <f>IFERROR('[1]Cash flow '!K25,0)</f>
        <v>-2804</v>
      </c>
      <c r="L93" s="28">
        <f>IFERROR('[1]Cash flow '!L25,0)</f>
        <v>5870</v>
      </c>
    </row>
    <row r="94" spans="2:14" outlineLevel="1" x14ac:dyDescent="0.35">
      <c r="B94" s="150" t="s">
        <v>154</v>
      </c>
      <c r="C94" s="226">
        <f>IFERROR(SUM(C83:C93),0)</f>
        <v>-282</v>
      </c>
      <c r="D94" s="226">
        <f t="shared" ref="D94:E94" si="47">IFERROR(SUM(D83:D93),0)</f>
        <v>-1173</v>
      </c>
      <c r="E94" s="226">
        <f t="shared" si="47"/>
        <v>-1063</v>
      </c>
      <c r="F94" s="226">
        <f>IFERROR(SUM(F83:F93),0)</f>
        <v>-438</v>
      </c>
      <c r="G94" s="226">
        <f>IFERROR(SUM(G83:G93),0)</f>
        <v>1791</v>
      </c>
      <c r="H94" s="226">
        <f t="shared" ref="H94:L94" si="48">IFERROR(SUM(H83:H93),0)</f>
        <v>-1228</v>
      </c>
      <c r="I94" s="226">
        <f t="shared" si="48"/>
        <v>-1728</v>
      </c>
      <c r="J94" s="226">
        <f t="shared" si="48"/>
        <v>-1484</v>
      </c>
      <c r="K94" s="226">
        <f t="shared" si="48"/>
        <v>-5324</v>
      </c>
      <c r="L94" s="226">
        <f t="shared" si="48"/>
        <v>6473</v>
      </c>
      <c r="M94" s="166"/>
      <c r="N94" s="166"/>
    </row>
    <row r="95" spans="2:14" outlineLevel="1" x14ac:dyDescent="0.35"/>
    <row r="96" spans="2:14" outlineLevel="1" x14ac:dyDescent="0.35">
      <c r="B96" s="2" t="s">
        <v>151</v>
      </c>
      <c r="C96" s="2"/>
      <c r="D96" s="2"/>
      <c r="E96" s="2"/>
      <c r="F96" s="2"/>
    </row>
    <row r="97" spans="2:14" outlineLevel="1" x14ac:dyDescent="0.35">
      <c r="B97" t="s">
        <v>141</v>
      </c>
      <c r="C97" s="28">
        <f>IFERROR('[1]Cash flow '!C27,0)</f>
        <v>0</v>
      </c>
      <c r="D97" s="28">
        <f>IFERROR('[1]Cash flow '!D27,0)</f>
        <v>0</v>
      </c>
      <c r="E97" s="28">
        <f>IFERROR('[1]Cash flow '!E27,0)</f>
        <v>0</v>
      </c>
      <c r="F97" s="28">
        <f>IFERROR('[1]Cash flow '!F27,0)</f>
        <v>0</v>
      </c>
      <c r="G97" s="28">
        <f>IFERROR('[1]Cash flow '!G27,0)</f>
        <v>0</v>
      </c>
      <c r="H97" s="28">
        <f>IFERROR('[1]Cash flow '!H27,0)</f>
        <v>0</v>
      </c>
      <c r="I97" s="28">
        <f>IFERROR('[1]Cash flow '!I27,0)</f>
        <v>0</v>
      </c>
      <c r="J97" s="28">
        <f>IFERROR('[1]Cash flow '!J27,0)</f>
        <v>0</v>
      </c>
      <c r="K97" s="28">
        <f>IFERROR('[1]Cash flow '!K27,0)</f>
        <v>0</v>
      </c>
      <c r="L97" s="28">
        <f>IFERROR('[1]Cash flow '!L27,0)</f>
        <v>0</v>
      </c>
    </row>
    <row r="98" spans="2:14" outlineLevel="1" x14ac:dyDescent="0.35">
      <c r="B98" t="s">
        <v>142</v>
      </c>
      <c r="C98" s="28">
        <f>IFERROR('[1]Cash flow '!C28,0)</f>
        <v>177</v>
      </c>
      <c r="D98" s="28">
        <f>IFERROR('[1]Cash flow '!D28,0)</f>
        <v>460</v>
      </c>
      <c r="E98" s="28">
        <f>IFERROR('[1]Cash flow '!E28,0)</f>
        <v>0</v>
      </c>
      <c r="F98" s="28">
        <f>IFERROR('[1]Cash flow '!F28,0)</f>
        <v>99</v>
      </c>
      <c r="G98" s="28">
        <f>IFERROR('[1]Cash flow '!G28,0)</f>
        <v>0</v>
      </c>
      <c r="H98" s="28">
        <f>IFERROR('[1]Cash flow '!H28,0)</f>
        <v>188</v>
      </c>
      <c r="I98" s="28">
        <f>IFERROR('[1]Cash flow '!I28,0)</f>
        <v>55</v>
      </c>
      <c r="J98" s="28">
        <f>IFERROR('[1]Cash flow '!J28,0)</f>
        <v>286</v>
      </c>
      <c r="K98" s="28">
        <f>IFERROR('[1]Cash flow '!K28,0)</f>
        <v>0</v>
      </c>
      <c r="L98" s="28">
        <f>IFERROR('[1]Cash flow '!L28,0)</f>
        <v>0</v>
      </c>
    </row>
    <row r="99" spans="2:14" outlineLevel="1" x14ac:dyDescent="0.35">
      <c r="B99" t="s">
        <v>143</v>
      </c>
      <c r="C99" s="28">
        <f>IFERROR('[1]Cash flow '!C29,0)</f>
        <v>0</v>
      </c>
      <c r="D99" s="28">
        <f>IFERROR('[1]Cash flow '!D29,0)</f>
        <v>-360</v>
      </c>
      <c r="E99" s="28">
        <f>IFERROR('[1]Cash flow '!E29,0)</f>
        <v>-277</v>
      </c>
      <c r="F99" s="28">
        <f>IFERROR('[1]Cash flow '!F29,0)</f>
        <v>0</v>
      </c>
      <c r="G99" s="28">
        <f>IFERROR('[1]Cash flow '!G29,0)</f>
        <v>-99</v>
      </c>
      <c r="H99" s="28">
        <f>IFERROR('[1]Cash flow '!H29,0)</f>
        <v>-188</v>
      </c>
      <c r="I99" s="28">
        <f>IFERROR('[1]Cash flow '!I29,0)</f>
        <v>-55</v>
      </c>
      <c r="J99" s="28">
        <f>IFERROR('[1]Cash flow '!J29,0)</f>
        <v>-208</v>
      </c>
      <c r="K99" s="28">
        <f>IFERROR('[1]Cash flow '!K29,0)</f>
        <v>-85</v>
      </c>
      <c r="L99" s="28">
        <f>IFERROR('[1]Cash flow '!L29,0)</f>
        <v>0</v>
      </c>
    </row>
    <row r="100" spans="2:14" outlineLevel="1" x14ac:dyDescent="0.35">
      <c r="B100" t="s">
        <v>144</v>
      </c>
      <c r="C100" s="28">
        <f>IFERROR('[1]Cash flow '!C30,0)</f>
        <v>-2</v>
      </c>
      <c r="D100" s="28">
        <f>IFERROR('[1]Cash flow '!D30,0)</f>
        <v>-14</v>
      </c>
      <c r="E100" s="28">
        <f>IFERROR('[1]Cash flow '!E30,0)</f>
        <v>-6</v>
      </c>
      <c r="F100" s="28">
        <f>IFERROR('[1]Cash flow '!F30,0)</f>
        <v>-7</v>
      </c>
      <c r="G100" s="28">
        <f>IFERROR('[1]Cash flow '!G30,0)</f>
        <v>-90</v>
      </c>
      <c r="H100" s="28">
        <f>IFERROR('[1]Cash flow '!H30,0)</f>
        <v>-92</v>
      </c>
      <c r="I100" s="28">
        <f>IFERROR('[1]Cash flow '!I30,0)</f>
        <v>-82</v>
      </c>
      <c r="J100" s="28">
        <f>IFERROR('[1]Cash flow '!J30,0)</f>
        <v>-88</v>
      </c>
      <c r="K100" s="28">
        <f>IFERROR('[1]Cash flow '!K30,0)</f>
        <v>-110</v>
      </c>
      <c r="L100" s="28">
        <f>IFERROR('[1]Cash flow '!L30,0)</f>
        <v>-130</v>
      </c>
    </row>
    <row r="101" spans="2:14" outlineLevel="1" x14ac:dyDescent="0.35">
      <c r="B101" t="s">
        <v>145</v>
      </c>
      <c r="C101" s="28">
        <f>IFERROR('[1]Cash flow '!C31,0)</f>
        <v>-3354</v>
      </c>
      <c r="D101" s="28">
        <f>IFERROR('[1]Cash flow '!D31,0)</f>
        <v>-3572</v>
      </c>
      <c r="E101" s="28">
        <f>IFERROR('[1]Cash flow '!E31,0)</f>
        <v>-3911</v>
      </c>
      <c r="F101" s="28">
        <f>IFERROR('[1]Cash flow '!F31,0)</f>
        <v>-4554</v>
      </c>
      <c r="G101" s="28">
        <f>IFERROR('[1]Cash flow '!G31,0)</f>
        <v>-5196</v>
      </c>
      <c r="H101" s="28">
        <f>IFERROR('[1]Cash flow '!H31,0)</f>
        <v>-8811</v>
      </c>
      <c r="I101" s="28">
        <f>IFERROR('[1]Cash flow '!I31,0)</f>
        <v>-7526</v>
      </c>
      <c r="J101" s="28">
        <f>IFERROR('[1]Cash flow '!J31,0)</f>
        <v>-8474</v>
      </c>
      <c r="K101" s="28">
        <f>IFERROR('[1]Cash flow '!K31,0)</f>
        <v>-9416</v>
      </c>
      <c r="L101" s="28">
        <f>IFERROR('[1]Cash flow '!L31,0)</f>
        <v>-12473</v>
      </c>
    </row>
    <row r="102" spans="2:14" outlineLevel="1" x14ac:dyDescent="0.35">
      <c r="B102" t="s">
        <v>146</v>
      </c>
      <c r="C102" s="28">
        <f>IFERROR('[1]Cash flow '!C32,0)</f>
        <v>0</v>
      </c>
      <c r="D102" s="28">
        <f>IFERROR('[1]Cash flow '!D32,0)</f>
        <v>0</v>
      </c>
      <c r="E102" s="28">
        <f>IFERROR('[1]Cash flow '!E32,0)</f>
        <v>0</v>
      </c>
      <c r="F102" s="28">
        <f>IFERROR('[1]Cash flow '!F32,0)</f>
        <v>0</v>
      </c>
      <c r="G102" s="28">
        <f>IFERROR('[1]Cash flow '!G32,0)</f>
        <v>-373</v>
      </c>
      <c r="H102" s="28">
        <f>IFERROR('[1]Cash flow '!H32,0)</f>
        <v>-406</v>
      </c>
      <c r="I102" s="28">
        <f>IFERROR('[1]Cash flow '!I32,0)</f>
        <v>-407</v>
      </c>
      <c r="J102" s="28">
        <f>IFERROR('[1]Cash flow '!J32,0)</f>
        <v>-467</v>
      </c>
      <c r="K102" s="28">
        <f>IFERROR('[1]Cash flow '!K32,0)</f>
        <v>-423</v>
      </c>
      <c r="L102" s="28">
        <f>IFERROR('[1]Cash flow '!L32,0)</f>
        <v>-996</v>
      </c>
    </row>
    <row r="103" spans="2:14" outlineLevel="1" x14ac:dyDescent="0.35">
      <c r="B103" t="s">
        <v>147</v>
      </c>
      <c r="C103" s="28">
        <f>IFERROR('[1]Cash flow '!C33,0)</f>
        <v>-685</v>
      </c>
      <c r="D103" s="28">
        <f>IFERROR('[1]Cash flow '!D33,0)</f>
        <v>-728</v>
      </c>
      <c r="E103" s="28">
        <f>IFERROR('[1]Cash flow '!E33,0)</f>
        <v>-781</v>
      </c>
      <c r="F103" s="28">
        <f>IFERROR('[1]Cash flow '!F33,0)</f>
        <v>-928</v>
      </c>
      <c r="G103" s="28">
        <f>IFERROR('[1]Cash flow '!G33,0)</f>
        <v>-1061</v>
      </c>
      <c r="H103" s="28">
        <f>IFERROR('[1]Cash flow '!H33,0)</f>
        <v>0</v>
      </c>
      <c r="I103" s="28">
        <f>IFERROR('[1]Cash flow '!I33,0)</f>
        <v>0</v>
      </c>
      <c r="J103" s="28">
        <f>IFERROR('[1]Cash flow '!J33,0)</f>
        <v>-2</v>
      </c>
      <c r="K103" s="28">
        <f>IFERROR('[1]Cash flow '!K33,0)</f>
        <v>0</v>
      </c>
      <c r="L103" s="28">
        <f>IFERROR('[1]Cash flow '!L33,0)</f>
        <v>498</v>
      </c>
    </row>
    <row r="104" spans="2:14" outlineLevel="1" x14ac:dyDescent="0.35">
      <c r="B104" s="150" t="s">
        <v>152</v>
      </c>
      <c r="C104" s="226">
        <f t="shared" ref="C104:L104" si="49">IFERROR(SUM(C97:C103),0)</f>
        <v>-3864</v>
      </c>
      <c r="D104" s="226">
        <f t="shared" si="49"/>
        <v>-4214</v>
      </c>
      <c r="E104" s="226">
        <f t="shared" si="49"/>
        <v>-4975</v>
      </c>
      <c r="F104" s="226">
        <f t="shared" si="49"/>
        <v>-5390</v>
      </c>
      <c r="G104" s="226">
        <f t="shared" si="49"/>
        <v>-6819</v>
      </c>
      <c r="H104" s="226">
        <f t="shared" si="49"/>
        <v>-9309</v>
      </c>
      <c r="I104" s="226">
        <f t="shared" si="49"/>
        <v>-8015</v>
      </c>
      <c r="J104" s="226">
        <f t="shared" si="49"/>
        <v>-8953</v>
      </c>
      <c r="K104" s="226">
        <f t="shared" si="49"/>
        <v>-10034</v>
      </c>
      <c r="L104" s="226">
        <f t="shared" si="49"/>
        <v>-13101</v>
      </c>
      <c r="M104" s="166"/>
      <c r="N104" s="166"/>
    </row>
    <row r="105" spans="2:14" outlineLevel="1" x14ac:dyDescent="0.35"/>
    <row r="106" spans="2:14" x14ac:dyDescent="0.35">
      <c r="B106" s="224" t="s">
        <v>155</v>
      </c>
      <c r="C106" s="224">
        <f t="shared" ref="C106:L106" si="50">IFERROR(SUM(C80,C94,C104),0)</f>
        <v>-56</v>
      </c>
      <c r="D106" s="224">
        <f t="shared" si="50"/>
        <v>410</v>
      </c>
      <c r="E106" s="224">
        <f t="shared" si="50"/>
        <v>857</v>
      </c>
      <c r="F106" s="224">
        <f t="shared" si="50"/>
        <v>-370</v>
      </c>
      <c r="G106" s="224">
        <f t="shared" si="50"/>
        <v>3006</v>
      </c>
      <c r="H106" s="224">
        <f t="shared" si="50"/>
        <v>-1475</v>
      </c>
      <c r="I106" s="224">
        <f t="shared" si="50"/>
        <v>-1695</v>
      </c>
      <c r="J106" s="224">
        <f t="shared" si="50"/>
        <v>-1406</v>
      </c>
      <c r="K106" s="224">
        <f t="shared" si="50"/>
        <v>1424</v>
      </c>
      <c r="L106" s="224">
        <f t="shared" si="50"/>
        <v>4470</v>
      </c>
      <c r="M106" s="225"/>
      <c r="N106" s="225"/>
    </row>
  </sheetData>
  <mergeCells count="1">
    <mergeCell ref="B2:N2"/>
  </mergeCells>
  <dataValidations count="6">
    <dataValidation allowBlank="1" showInputMessage="1" showErrorMessage="1" promptTitle="EBITDA" prompt="EBITDA is a measure of efficienc, how efficiently is your business working. It is a cap that is measured before interest and depriciation so it can show the efficiency of the working of the business" sqref="B18:F18" xr:uid="{E09492F2-2DC8-42E4-A8DE-4D647E13F88C}"/>
    <dataValidation allowBlank="1" showInputMessage="1" showErrorMessage="1" promptTitle="EFFECTIVE Tax rate" sqref="B31:F31" xr:uid="{00794222-ECC6-4CDD-9B00-15373C84A5CA}"/>
    <dataValidation allowBlank="1" showInputMessage="1" showErrorMessage="1" promptTitle="SALES" prompt="Think of sales as your total pocket money._x000a_Sales are the total income earned before any costs — the common base._x000a__x000a_It's the only consistent number to compare performance, whether you're looking at profits, costs, or efficiency._x000a__x000a_" sqref="B6:F6" xr:uid="{53316988-8A0E-4DE4-ACB2-603BF608AA0C}"/>
    <dataValidation allowBlank="1" showInputMessage="1" showErrorMessage="1" promptTitle="dividend payout ratio" prompt="dividend paid/net profit _x000a_earnings per share (EPS) as the base because: (DPS/EPS)_x000a_It's the total income per share that a company has._x000a_Dividends are paid from profits," sqref="B42:F42" xr:uid="{8D63A015-0710-446F-BD10-6B6C3BEAB8E0}"/>
    <dataValidation allowBlank="1" showInputMessage="1" showErrorMessage="1" promptTitle="Retained Earnings" prompt="Amount saved after paying dividends_x000a_1. EPS-DPS (gives you amount )_x000a_2.(1-dividend payout ratio): gives direct percentage of retained earnings_x000a_formula =iferror(if(eps&gt;dpr,1-dividend ratio,0),))_x000a_if another if statement s not used it will show false data" sqref="B44:G44" xr:uid="{4C1A00A4-31D6-4DE8-BBF5-6BA5864BD495}"/>
    <dataValidation allowBlank="1" showInputMessage="1" showErrorMessage="1" promptTitle="other assets" prompt="other assets might also include sum of current assets , so subtract that then only  total assets will tally with total liabilities" sqref="B56" xr:uid="{4CF65FE8-4D7D-4A5F-AC8B-3ADD4E95EEBE}"/>
  </dataValidations>
  <pageMargins left="0.7" right="0.7" top="0.75" bottom="0.75" header="0.3" footer="0.3"/>
  <pageSetup orientation="landscape" r:id="rId1"/>
  <ignoredErrors>
    <ignoredError sqref="H15:I15 M9 M6 J15:L15 M18 M21 M24 C15:G15" formulaRange="1"/>
    <ignoredError sqref="G42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5375-ECF0-4F75-9F94-394CDB5504BF}">
  <sheetPr>
    <tabColor rgb="FF002060"/>
  </sheetPr>
  <dimension ref="B1:O41"/>
  <sheetViews>
    <sheetView showGridLines="0" zoomScale="85" zoomScaleNormal="100" workbookViewId="0">
      <pane xSplit="1" ySplit="3" topLeftCell="B30" activePane="bottomRight" state="frozen"/>
      <selection pane="topRight" activeCell="B1" sqref="B1"/>
      <selection pane="bottomLeft" activeCell="A4" sqref="A4"/>
      <selection pane="bottomRight" activeCell="G46" sqref="G46"/>
    </sheetView>
  </sheetViews>
  <sheetFormatPr defaultRowHeight="14.5" x14ac:dyDescent="0.35"/>
  <cols>
    <col min="1" max="1" width="1.81640625" customWidth="1"/>
    <col min="2" max="2" width="25" customWidth="1"/>
    <col min="3" max="12" width="12.6328125" customWidth="1"/>
    <col min="13" max="13" width="14.90625" customWidth="1"/>
    <col min="14" max="14" width="11.08984375" customWidth="1"/>
    <col min="15" max="15" width="11.1796875" customWidth="1"/>
  </cols>
  <sheetData>
    <row r="1" spans="2:15" x14ac:dyDescent="0.35">
      <c r="D1" t="s">
        <v>162</v>
      </c>
    </row>
    <row r="2" spans="2:15" x14ac:dyDescent="0.35">
      <c r="B2" s="86" t="str">
        <f>"Ratio Analysis" &amp;" - "&amp; 'Data Sheet'!B1</f>
        <v>Ratio Analysis - HINDUSTAN UNILEVER LTD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76"/>
    </row>
    <row r="3" spans="2:15" x14ac:dyDescent="0.35">
      <c r="B3" s="25" t="s">
        <v>93</v>
      </c>
      <c r="C3" s="41">
        <f>'Data Sheet'!B16</f>
        <v>42460</v>
      </c>
      <c r="D3" s="41">
        <f>'Data Sheet'!C16</f>
        <v>42825</v>
      </c>
      <c r="E3" s="41">
        <f>'Data Sheet'!D16</f>
        <v>43190</v>
      </c>
      <c r="F3" s="41">
        <f>'Data Sheet'!E16</f>
        <v>43555</v>
      </c>
      <c r="G3" s="26">
        <f>'Data Sheet'!F16</f>
        <v>43921</v>
      </c>
      <c r="H3" s="26">
        <f>'Data Sheet'!G16</f>
        <v>44286</v>
      </c>
      <c r="I3" s="26">
        <f>'Data Sheet'!H16</f>
        <v>44651</v>
      </c>
      <c r="J3" s="26">
        <f>'Data Sheet'!I16</f>
        <v>45016</v>
      </c>
      <c r="K3" s="26">
        <f>'Data Sheet'!J16</f>
        <v>45382</v>
      </c>
      <c r="L3" s="26">
        <f>'Data Sheet'!K16</f>
        <v>45747</v>
      </c>
      <c r="M3" s="77" t="s">
        <v>195</v>
      </c>
      <c r="N3" s="26" t="s">
        <v>193</v>
      </c>
      <c r="O3" s="26" t="s">
        <v>194</v>
      </c>
    </row>
    <row r="5" spans="2:15" x14ac:dyDescent="0.35">
      <c r="B5" s="66" t="s">
        <v>22</v>
      </c>
      <c r="C5" s="66"/>
      <c r="D5" s="67">
        <f>IFERROR( 'Historical FS'!D7,0)</f>
        <v>3.03237432424035E-2</v>
      </c>
      <c r="E5" s="67">
        <f>IFERROR( 'Historical FS'!E7,0)</f>
        <v>7.1859357095470644E-2</v>
      </c>
      <c r="F5" s="67">
        <f>IFERROR( 'Historical FS'!F7,0)</f>
        <v>0.1059220706147137</v>
      </c>
      <c r="G5" s="67">
        <f>IFERROR( 'Historical FS'!G7,0)</f>
        <v>1.2032561689137689E-2</v>
      </c>
      <c r="H5" s="67">
        <f>IFERROR( 'Historical FS'!H7,0)</f>
        <v>0.18211296282331646</v>
      </c>
      <c r="I5" s="67">
        <f>IFERROR( 'Historical FS'!I7,0)</f>
        <v>0.11520796121459553</v>
      </c>
      <c r="J5" s="67">
        <f>IFERROR( 'Historical FS'!J7,0)</f>
        <v>0.15509285741524614</v>
      </c>
      <c r="K5" s="67">
        <f>IFERROR( 'Historical FS'!K7,0)</f>
        <v>2.1723341036645749E-2</v>
      </c>
      <c r="L5" s="67">
        <f>IFERROR( 'Historical FS'!L7,0)</f>
        <v>1.9791262763344974E-2</v>
      </c>
      <c r="M5" s="78"/>
      <c r="N5" s="79">
        <f>IFERROR(AVERAGE(D5:L5),0)</f>
        <v>7.9340679766097155E-2</v>
      </c>
      <c r="O5" s="79">
        <f>IFERROR(MEDIAN(D5:L5),0)</f>
        <v>7.1859357095470644E-2</v>
      </c>
    </row>
    <row r="6" spans="2:15" x14ac:dyDescent="0.35">
      <c r="B6" t="s">
        <v>163</v>
      </c>
      <c r="D6" s="68">
        <f>IFERROR('Historical FS'!D18/'Historical FS'!C18-1,0)</f>
        <v>7.0727580372250465E-2</v>
      </c>
      <c r="E6" s="68">
        <f>IFERROR('Historical FS'!E18/'Historical FS'!D18-1,0)</f>
        <v>0.1850505689001265</v>
      </c>
      <c r="F6" s="68">
        <f>IFERROR('Historical FS'!F18/'Historical FS'!E18-1,0)</f>
        <v>0.1841578877183625</v>
      </c>
      <c r="G6" s="68">
        <f>IFERROR('Historical FS'!G18/'Historical FS'!F18-1,0)</f>
        <v>0.11047297297297298</v>
      </c>
      <c r="H6" s="68">
        <f>IFERROR('Historical FS'!H18/'Historical FS'!G18-1,0)</f>
        <v>0.1789879322583916</v>
      </c>
      <c r="I6" s="68">
        <f>IFERROR('Historical FS'!I18/'Historical FS'!H18-1,0)</f>
        <v>0.10588336487183891</v>
      </c>
      <c r="J6" s="68">
        <f>IFERROR('Historical FS'!J18/'Historical FS'!I18-1,0)</f>
        <v>0.10033444816053505</v>
      </c>
      <c r="K6" s="68">
        <f>IFERROR('Historical FS'!K18/'Historical FS'!J18-1,0)</f>
        <v>3.6191418675337594E-2</v>
      </c>
      <c r="L6" s="68">
        <f>IFERROR('Historical FS'!L18/'Historical FS'!K18-1,0)</f>
        <v>1.255201582645471E-2</v>
      </c>
      <c r="M6" s="66"/>
      <c r="N6" s="68">
        <f t="shared" ref="N6:N9" si="0">IFERROR(AVERAGE(D6:L6),0)</f>
        <v>0.10937313219514115</v>
      </c>
      <c r="O6" s="68">
        <f t="shared" ref="O6:O8" si="1">IFERROR(MEDIAN(D6:L6),0)</f>
        <v>0.10588336487183891</v>
      </c>
    </row>
    <row r="7" spans="2:15" x14ac:dyDescent="0.35">
      <c r="B7" t="s">
        <v>164</v>
      </c>
      <c r="D7" s="68">
        <f>IFERROR('Historical FS'!D27/'Historical FS'!C27-1,0)</f>
        <v>5.794223826714795E-2</v>
      </c>
      <c r="E7" s="68">
        <f>IFERROR('Historical FS'!E27/'Historical FS'!D27-1,0)</f>
        <v>0.18631632827162603</v>
      </c>
      <c r="F7" s="68">
        <f>IFERROR('Historical FS'!F27/'Historical FS'!E27-1,0)</f>
        <v>0.19114051488566086</v>
      </c>
      <c r="G7" s="68">
        <f>IFERROR('Historical FS'!G27/'Historical FS'!F27-1,0)</f>
        <v>5.5421395798116446E-2</v>
      </c>
      <c r="H7" s="68">
        <f>IFERROR('Historical FS'!H27/'Historical FS'!G27-1,0)</f>
        <v>0.19379933646035918</v>
      </c>
      <c r="I7" s="68">
        <f>IFERROR('Historical FS'!I27/'Historical FS'!H27-1,0)</f>
        <v>0.11739338763775753</v>
      </c>
      <c r="J7" s="68">
        <f>IFERROR('Historical FS'!J27/'Historical FS'!I27-1,0)</f>
        <v>0.10600343053173233</v>
      </c>
      <c r="K7" s="68">
        <f>IFERROR('Historical FS'!K27/'Historical FS'!J27-1,0)</f>
        <v>1.6516749379652529E-2</v>
      </c>
      <c r="L7" s="68">
        <f>IFERROR('Historical FS'!L27/'Historical FS'!K27-1,0)</f>
        <v>-1.2205355099550452E-3</v>
      </c>
      <c r="M7" s="66"/>
      <c r="N7" s="68">
        <f t="shared" si="0"/>
        <v>0.10259031619134421</v>
      </c>
      <c r="O7" s="68">
        <f t="shared" si="1"/>
        <v>0.10600343053173233</v>
      </c>
    </row>
    <row r="8" spans="2:15" x14ac:dyDescent="0.35">
      <c r="B8" t="s">
        <v>165</v>
      </c>
      <c r="D8" s="68">
        <f>IFERROR('Historical FS'!D33/'Historical FS'!C33-1,0)</f>
        <v>5.9754433833560716E-2</v>
      </c>
      <c r="E8" s="68">
        <f>IFERROR('Historical FS'!E33/'Historical FS'!D33-1,0)</f>
        <v>0.2548918640576725</v>
      </c>
      <c r="F8" s="68">
        <f>IFERROR('Historical FS'!F33/'Historical FS'!E33-1,0)</f>
        <v>0.17726713171932706</v>
      </c>
      <c r="G8" s="68">
        <f>IFERROR('Historical FS'!G33/'Historical FS'!F33-1,0)</f>
        <v>0.10352039037992333</v>
      </c>
      <c r="H8" s="68">
        <f>IFERROR('Historical FS'!H33/'Historical FS'!G33-1,0)</f>
        <v>0.23641819330385339</v>
      </c>
      <c r="I8" s="68">
        <f>IFERROR('Historical FS'!I33/'Historical FS'!H33-1,0)</f>
        <v>0.10780431728190054</v>
      </c>
      <c r="J8" s="68">
        <f>IFERROR('Historical FS'!J33/'Historical FS'!I33-1,0)</f>
        <v>0.11783696529459231</v>
      </c>
      <c r="K8" s="68">
        <f>IFERROR('Historical FS'!K33/'Historical FS'!J33-1,0)</f>
        <v>-2.372356884992266E-2</v>
      </c>
      <c r="L8" s="68">
        <f>IFERROR('Historical FS'!L33/'Historical FS'!K33-1,0)</f>
        <v>-1.2255678816693094E-2</v>
      </c>
      <c r="M8" s="66"/>
      <c r="N8" s="68">
        <f t="shared" si="0"/>
        <v>0.11350156091157936</v>
      </c>
      <c r="O8" s="68">
        <f t="shared" si="1"/>
        <v>0.10780431728190054</v>
      </c>
    </row>
    <row r="9" spans="2:15" x14ac:dyDescent="0.35">
      <c r="B9" s="69" t="s">
        <v>166</v>
      </c>
      <c r="C9" s="69"/>
      <c r="D9" s="70">
        <f>IFERROR('Historical FS'!D41/'Historical FS'!C41-1,0)</f>
        <v>6.25E-2</v>
      </c>
      <c r="E9" s="70">
        <f>IFERROR('Historical FS'!E41/'Historical FS'!D41-1,0)</f>
        <v>0.17647058823529416</v>
      </c>
      <c r="F9" s="70">
        <f>IFERROR('Historical FS'!F41/'Historical FS'!E41-1,0)</f>
        <v>0.10000000000000009</v>
      </c>
      <c r="G9" s="70">
        <f>IFERROR('Historical FS'!G41/'Historical FS'!F41-1,0)</f>
        <v>0.13636363636363646</v>
      </c>
      <c r="H9" s="70">
        <f>IFERROR('Historical FS'!H41/'Historical FS'!G41-1,0)</f>
        <v>0.76249999999999996</v>
      </c>
      <c r="I9" s="70">
        <f>IFERROR('Historical FS'!I41/'Historical FS'!H41-1,0)</f>
        <v>-0.16049382716049387</v>
      </c>
      <c r="J9" s="70">
        <f>IFERROR('Historical FS'!J41/'Historical FS'!I41-1,0)</f>
        <v>0.14705882352941169</v>
      </c>
      <c r="K9" s="70">
        <f>IFERROR('Historical FS'!K41/'Historical FS'!J41-1,0)</f>
        <v>7.6923076923076872E-2</v>
      </c>
      <c r="L9" s="70">
        <f>IFERROR('Historical FS'!L41/'Historical FS'!K41-1,0)</f>
        <v>0.26190476190476186</v>
      </c>
      <c r="M9" s="80"/>
      <c r="N9" s="81">
        <f t="shared" si="0"/>
        <v>0.17369189553285413</v>
      </c>
      <c r="O9" s="81">
        <f>IFERROR(MEDIAN(D9:L9),0)</f>
        <v>0.13636363636363646</v>
      </c>
    </row>
    <row r="10" spans="2:15" x14ac:dyDescent="0.35">
      <c r="N10" s="68"/>
      <c r="O10" s="68"/>
    </row>
    <row r="11" spans="2:15" x14ac:dyDescent="0.35">
      <c r="B11" s="66" t="s">
        <v>167</v>
      </c>
      <c r="C11" s="67">
        <f>IFERROR('Historical FS'!C13,0)</f>
        <v>0.43385322811160132</v>
      </c>
      <c r="D11" s="67">
        <f>IFERROR('Historical FS'!D13,0)</f>
        <v>0.43685543694590195</v>
      </c>
      <c r="E11" s="67">
        <f>IFERROR('Historical FS'!E13,0)</f>
        <v>0.45663243775495849</v>
      </c>
      <c r="F11" s="67">
        <f>IFERROR('Historical FS'!F13,0)</f>
        <v>0.46372424319511574</v>
      </c>
      <c r="G11" s="67">
        <f>IFERROR('Historical FS'!G13,0)</f>
        <v>0.48183897644722617</v>
      </c>
      <c r="H11" s="67">
        <f>IFERROR('Historical FS'!H13,0)</f>
        <v>0.46200136089138388</v>
      </c>
      <c r="I11" s="67">
        <f>IFERROR('Historical FS'!I13,0)</f>
        <v>0.44579186210578498</v>
      </c>
      <c r="J11" s="67">
        <f>IFERROR('Historical FS'!J13,0)</f>
        <v>0.41596236381644108</v>
      </c>
      <c r="K11" s="67">
        <f>IFERROR('Historical FS'!K13,0)</f>
        <v>0.45632997285769678</v>
      </c>
      <c r="L11" s="67">
        <f>IFERROR('Historical FS'!L13,0)</f>
        <v>0.46681769933936407</v>
      </c>
      <c r="M11" s="66"/>
      <c r="N11" s="79">
        <f>IFERROR(AVERAGE(C11:L11),0)</f>
        <v>0.45198075814654742</v>
      </c>
      <c r="O11" s="79">
        <f>IFERROR(MEDIAN(C11:L11),0)</f>
        <v>0.45648120530632763</v>
      </c>
    </row>
    <row r="12" spans="2:15" x14ac:dyDescent="0.35">
      <c r="B12" t="s">
        <v>168</v>
      </c>
      <c r="C12" s="68">
        <f>IFERROR('Historical FS'!C19,0)</f>
        <v>0.18362020754365252</v>
      </c>
      <c r="D12" s="68">
        <f>IFERROR('Historical FS'!D19,0)</f>
        <v>0.1908208190097099</v>
      </c>
      <c r="E12" s="68">
        <f>IFERROR('Historical FS'!E19,0)</f>
        <v>0.21097200731467156</v>
      </c>
      <c r="F12" s="68">
        <f>IFERROR('Historical FS'!F19,0)</f>
        <v>0.2258967183922666</v>
      </c>
      <c r="G12" s="68">
        <f>IFERROR('Historical FS'!G19,0)</f>
        <v>0.24786969308498605</v>
      </c>
      <c r="H12" s="68">
        <f>IFERROR('Historical FS'!H19,0)</f>
        <v>0.24721442544866887</v>
      </c>
      <c r="I12" s="68">
        <f>IFERROR('Historical FS'!I19,0)</f>
        <v>0.24514738969606834</v>
      </c>
      <c r="J12" s="68">
        <f>IFERROR('Historical FS'!J19,0)</f>
        <v>0.23352591614394189</v>
      </c>
      <c r="K12" s="68">
        <f>IFERROR('Historical FS'!K19,0)</f>
        <v>0.23683275171255008</v>
      </c>
      <c r="L12" s="68">
        <f>IFERROR('Historical FS'!L19,0)</f>
        <v>0.23515153435465216</v>
      </c>
      <c r="M12" s="66"/>
      <c r="N12" s="68">
        <f t="shared" ref="N12:N41" si="2">IFERROR(AVERAGE(C12:L12),0)</f>
        <v>0.22570514627011679</v>
      </c>
      <c r="O12" s="68">
        <f t="shared" ref="O12:O41" si="3">IFERROR(MEDIAN(C12:L12),0)</f>
        <v>0.23433872524929703</v>
      </c>
    </row>
    <row r="13" spans="2:15" x14ac:dyDescent="0.35">
      <c r="B13" t="s">
        <v>169</v>
      </c>
      <c r="C13" s="68">
        <f>IFERROR(('Historical FS'!C18-'Historical FS'!C24)/'Historical FS'!C6,0)</f>
        <v>0.17265270614552911</v>
      </c>
      <c r="D13" s="68">
        <f>IFERROR(('Historical FS'!D18-'Historical FS'!D24)/'Historical FS'!D6,0)</f>
        <v>0.17779386044267534</v>
      </c>
      <c r="E13" s="68">
        <f>IFERROR(('Historical FS'!E18-'Historical FS'!E24)/'Historical FS'!E6,0)</f>
        <v>0.19634266422844282</v>
      </c>
      <c r="F13" s="68">
        <f>IFERROR(('Historical FS'!F18-'Historical FS'!F24)/'Historical FS'!F6,0)</f>
        <v>0.21152378529636226</v>
      </c>
      <c r="G13" s="68">
        <f>IFERROR(('Historical FS'!G18-'Historical FS'!G24)/'Historical FS'!G6,0)</f>
        <v>0.22268305557650253</v>
      </c>
      <c r="H13" s="68">
        <f>IFERROR(('Historical FS'!H18-'Historical FS'!H24)/'Historical FS'!H6,0)</f>
        <v>0.22437696691332823</v>
      </c>
      <c r="I13" s="68">
        <f>IFERROR(('Historical FS'!I18-'Historical FS'!I24)/'Historical FS'!I6,0)</f>
        <v>0.22434504061320215</v>
      </c>
      <c r="J13" s="68">
        <f>IFERROR(('Historical FS'!J18-'Historical FS'!J24)/'Historical FS'!J6,0)</f>
        <v>0.21475734565863322</v>
      </c>
      <c r="K13" s="68">
        <f>IFERROR(('Historical FS'!K18-'Historical FS'!K24)/'Historical FS'!K6,0)</f>
        <v>0.21718689414501746</v>
      </c>
      <c r="L13" s="68">
        <f>IFERROR(('Historical FS'!L18-'Historical FS'!L24)/'Historical FS'!L6,0)</f>
        <v>0.21368482755342913</v>
      </c>
      <c r="M13" s="66"/>
      <c r="N13" s="68">
        <f t="shared" si="2"/>
        <v>0.20753471465731224</v>
      </c>
      <c r="O13" s="68">
        <f t="shared" si="3"/>
        <v>0.21422108660603117</v>
      </c>
    </row>
    <row r="14" spans="2:15" x14ac:dyDescent="0.35">
      <c r="B14" t="s">
        <v>170</v>
      </c>
      <c r="C14" s="68">
        <f>IFERROR('Historical FS'!C28,0)</f>
        <v>0.17212452619151183</v>
      </c>
      <c r="D14" s="68">
        <f>IFERROR('Historical FS'!D28,0)</f>
        <v>0.17673843555877208</v>
      </c>
      <c r="E14" s="68">
        <f>IFERROR('Historical FS'!E28,0)</f>
        <v>0.19561119707413138</v>
      </c>
      <c r="F14" s="68">
        <f>IFERROR('Historical FS'!F28,0)</f>
        <v>0.21068430424828288</v>
      </c>
      <c r="G14" s="68">
        <f>IFERROR('Historical FS'!G28,0)</f>
        <v>0.21971696453258929</v>
      </c>
      <c r="H14" s="68">
        <f>IFERROR('Historical FS'!H28,0)</f>
        <v>0.22188908735221571</v>
      </c>
      <c r="I14" s="68">
        <f>IFERROR('Historical FS'!I28,0)</f>
        <v>0.22232391412119132</v>
      </c>
      <c r="J14" s="68">
        <f>IFERROR('Historical FS'!J28,0)</f>
        <v>0.21287553648068669</v>
      </c>
      <c r="K14" s="68">
        <f>IFERROR('Historical FS'!K28,0)</f>
        <v>0.2117907457670932</v>
      </c>
      <c r="L14" s="68">
        <f>IFERROR('Historical FS'!L28,0)</f>
        <v>0.20742700527558183</v>
      </c>
      <c r="M14" s="66"/>
      <c r="N14" s="68">
        <f t="shared" si="2"/>
        <v>0.2051181716602056</v>
      </c>
      <c r="O14" s="68">
        <f t="shared" si="3"/>
        <v>0.21123752500768805</v>
      </c>
    </row>
    <row r="15" spans="2:15" x14ac:dyDescent="0.35">
      <c r="B15" s="69" t="s">
        <v>171</v>
      </c>
      <c r="C15" s="70">
        <f>IFERROR('Historical FS'!C34,0)</f>
        <v>0.11386938420431243</v>
      </c>
      <c r="D15" s="70">
        <f>IFERROR('Historical FS'!D34,0)</f>
        <v>0.11712200711657922</v>
      </c>
      <c r="E15" s="70">
        <f>IFERROR('Historical FS'!E34,0)</f>
        <v>0.1371219580813054</v>
      </c>
      <c r="F15" s="70">
        <f>IFERROR('Historical FS'!F34,0)</f>
        <v>0.14596794708725516</v>
      </c>
      <c r="G15" s="70">
        <f>IFERROR('Historical FS'!G34,0)</f>
        <v>0.15916346178015736</v>
      </c>
      <c r="H15" s="70">
        <f>IFERROR('Historical FS'!H34,0)</f>
        <v>0.16647529131581185</v>
      </c>
      <c r="I15" s="70">
        <f>IFERROR('Historical FS'!I34,0)</f>
        <v>0.16537009495481067</v>
      </c>
      <c r="J15" s="70">
        <f>IFERROR('Historical FS'!J34,0)</f>
        <v>0.16003631561571477</v>
      </c>
      <c r="K15" s="70">
        <f>IFERROR('Historical FS'!K34,0)</f>
        <v>0.15291779759596744</v>
      </c>
      <c r="L15" s="70">
        <f>IFERROR('Historical FS'!L34,0)</f>
        <v>0.14811235563441644</v>
      </c>
      <c r="M15" s="66"/>
      <c r="N15" s="81">
        <f t="shared" si="2"/>
        <v>0.14661566133863307</v>
      </c>
      <c r="O15" s="81">
        <f t="shared" si="3"/>
        <v>0.15051507661519192</v>
      </c>
    </row>
    <row r="16" spans="2:15" x14ac:dyDescent="0.35">
      <c r="M16" s="66"/>
      <c r="N16" s="68"/>
      <c r="O16" s="68"/>
    </row>
    <row r="17" spans="2:15" x14ac:dyDescent="0.35">
      <c r="B17" s="66" t="s">
        <v>172</v>
      </c>
      <c r="C17" s="67">
        <f>IFERROR('Historical FS'!C15/'Historical FS'!C6,0)</f>
        <v>0.25023302056794877</v>
      </c>
      <c r="D17" s="67">
        <f>IFERROR('Historical FS'!D15/'Historical FS'!D6,0)</f>
        <v>0.24603461793619202</v>
      </c>
      <c r="E17" s="67">
        <f>IFERROR('Historical FS'!E15/'Historical FS'!E6,0)</f>
        <v>0.24566043044028696</v>
      </c>
      <c r="F17" s="67">
        <f>IFERROR('Historical FS'!F15/'Historical FS'!F6,0)</f>
        <v>0.23782752480284916</v>
      </c>
      <c r="G17" s="67">
        <f>IFERROR('Historical FS'!G15/'Historical FS'!G6,0)</f>
        <v>0.23396928336224015</v>
      </c>
      <c r="H17" s="67">
        <f>IFERROR('Historical FS'!H15/'Historical FS'!H6,0)</f>
        <v>0.21478693544271499</v>
      </c>
      <c r="I17" s="67">
        <f>IFERROR('Historical FS'!I15/'Historical FS'!I6,0)</f>
        <v>0.20064447240971667</v>
      </c>
      <c r="J17" s="67">
        <f>IFERROR('Historical FS'!J15/'Historical FS'!J6,0)</f>
        <v>0.18243644767249917</v>
      </c>
      <c r="K17" s="67">
        <f>IFERROR('Historical FS'!K15/'Historical FS'!K6,0)</f>
        <v>0.21949722114514669</v>
      </c>
      <c r="L17" s="67">
        <f>IFERROR('Historical FS'!L15/'Historical FS'!L6,0)</f>
        <v>0.2316661649847119</v>
      </c>
      <c r="M17" s="66"/>
      <c r="N17" s="79">
        <f t="shared" si="2"/>
        <v>0.22627561187643064</v>
      </c>
      <c r="O17" s="79">
        <f t="shared" si="3"/>
        <v>0.23281772417347602</v>
      </c>
    </row>
    <row r="18" spans="2:15" x14ac:dyDescent="0.35">
      <c r="B18" t="s">
        <v>173</v>
      </c>
      <c r="C18" s="68">
        <f>IFERROR('Historical FS'!C25,0)</f>
        <v>1.0967501398123409E-2</v>
      </c>
      <c r="D18" s="68">
        <f>IFERROR('Historical FS'!D25,0)</f>
        <v>1.3026958567034558E-2</v>
      </c>
      <c r="E18" s="68">
        <f>IFERROR('Historical FS'!E25,0)</f>
        <v>1.4629343086228723E-2</v>
      </c>
      <c r="F18" s="68">
        <f>IFERROR('Historical FS'!F25,0)</f>
        <v>1.437293309590435E-2</v>
      </c>
      <c r="G18" s="68">
        <f>IFERROR('Historical FS'!G25,0)</f>
        <v>2.5186637508483524E-2</v>
      </c>
      <c r="H18" s="68">
        <f>IFERROR('Historical FS'!H25,0)</f>
        <v>2.2837458535340648E-2</v>
      </c>
      <c r="I18" s="68">
        <f>IFERROR('Historical FS'!I25,0)</f>
        <v>2.0802349082866187E-2</v>
      </c>
      <c r="J18" s="68">
        <f>IFERROR('Historical FS'!J25,0)</f>
        <v>1.8768570485308684E-2</v>
      </c>
      <c r="K18" s="68">
        <f>IFERROR('Historical FS'!K25,0)</f>
        <v>1.9645857567532635E-2</v>
      </c>
      <c r="L18" s="68">
        <f>IFERROR('Historical FS'!L25,0)</f>
        <v>2.1466706801223048E-2</v>
      </c>
      <c r="M18" s="66"/>
      <c r="N18" s="68">
        <f t="shared" si="2"/>
        <v>1.8170431612804579E-2</v>
      </c>
      <c r="O18" s="68">
        <f t="shared" si="3"/>
        <v>1.9207214026420658E-2</v>
      </c>
    </row>
    <row r="19" spans="2:15" x14ac:dyDescent="0.35">
      <c r="B19" s="69" t="s">
        <v>174</v>
      </c>
      <c r="C19" s="70">
        <f>IFERROR('Historical FS'!C19,0)</f>
        <v>0.18362020754365252</v>
      </c>
      <c r="D19" s="70">
        <f>IFERROR('Historical FS'!D19,0)</f>
        <v>0.1908208190097099</v>
      </c>
      <c r="E19" s="70">
        <f>IFERROR('Historical FS'!E19,0)</f>
        <v>0.21097200731467156</v>
      </c>
      <c r="F19" s="70">
        <f>IFERROR('Historical FS'!F19,0)</f>
        <v>0.2258967183922666</v>
      </c>
      <c r="G19" s="70">
        <f>IFERROR('Historical FS'!G19,0)</f>
        <v>0.24786969308498605</v>
      </c>
      <c r="H19" s="70">
        <f>IFERROR('Historical FS'!H19,0)</f>
        <v>0.24721442544866887</v>
      </c>
      <c r="I19" s="70">
        <f>IFERROR('Historical FS'!I19,0)</f>
        <v>0.24514738969606834</v>
      </c>
      <c r="J19" s="70">
        <f>IFERROR('Historical FS'!J19,0)</f>
        <v>0.23352591614394189</v>
      </c>
      <c r="K19" s="70">
        <f>IFERROR('Historical FS'!K19,0)</f>
        <v>0.23683275171255008</v>
      </c>
      <c r="L19" s="70">
        <f>IFERROR('Historical FS'!L19,0)</f>
        <v>0.23515153435465216</v>
      </c>
      <c r="M19" s="66"/>
      <c r="N19" s="81">
        <f t="shared" si="2"/>
        <v>0.22570514627011679</v>
      </c>
      <c r="O19" s="81">
        <f t="shared" si="3"/>
        <v>0.23433872524929703</v>
      </c>
    </row>
    <row r="20" spans="2:15" x14ac:dyDescent="0.35">
      <c r="M20" s="66"/>
      <c r="N20" s="68"/>
      <c r="O20" s="68"/>
    </row>
    <row r="21" spans="2:15" x14ac:dyDescent="0.35">
      <c r="B21" s="66" t="s">
        <v>175</v>
      </c>
      <c r="C21" s="67">
        <f>IFERROR(('Historical FS'!C18-'Historical FS'!C24)/SUM('Historical FS'!C47:C49),0)</f>
        <v>0.82325925925925925</v>
      </c>
      <c r="D21" s="67">
        <f>IFERROR(('Historical FS'!D18-'Historical FS'!D24)/SUM('Historical FS'!D47:D49),0)</f>
        <v>0.83976641504059246</v>
      </c>
      <c r="E21" s="67">
        <f>IFERROR(('Historical FS'!E18-'Historical FS'!E24)/SUM('Historical FS'!E47:E49),0)</f>
        <v>0.95852218101909081</v>
      </c>
      <c r="F21" s="67">
        <f>IFERROR(('Historical FS'!F18-'Historical FS'!F24)/SUM('Historical FS'!F47:F49),0)</f>
        <v>1.0438111975897564</v>
      </c>
      <c r="G21" s="67">
        <f>IFERROR(('Historical FS'!G18-'Historical FS'!G24)/SUM('Historical FS'!G47:G49),0)</f>
        <v>1.0765585125774699</v>
      </c>
      <c r="H21" s="67">
        <f>IFERROR(('Historical FS'!H18-'Historical FS'!H24)/SUM('Historical FS'!H47:H49),0)</f>
        <v>0.22133657758946176</v>
      </c>
      <c r="I21" s="67">
        <f>IFERROR(('Historical FS'!I18-'Historical FS'!I24)/SUM('Historical FS'!I47:I49),0)</f>
        <v>0.23483155037521955</v>
      </c>
      <c r="J21" s="67">
        <f>IFERROR(('Historical FS'!J18-'Historical FS'!J24)/SUM('Historical FS'!J47:J49),0)</f>
        <v>0.25250858839741475</v>
      </c>
      <c r="K21" s="67">
        <f>IFERROR(('Historical FS'!K18-'Historical FS'!K24)/SUM('Historical FS'!K47:K49),0)</f>
        <v>0.25507570870175705</v>
      </c>
      <c r="L21" s="67">
        <f>IFERROR(('Historical FS'!L18-'Historical FS'!L24)/SUM('Historical FS'!L47:L49),0)</f>
        <v>0.26421155729676787</v>
      </c>
      <c r="M21" s="66"/>
      <c r="N21" s="79">
        <f t="shared" si="2"/>
        <v>0.59698815478467915</v>
      </c>
      <c r="O21" s="79">
        <f t="shared" si="3"/>
        <v>0.54373540827801348</v>
      </c>
    </row>
    <row r="22" spans="2:15" x14ac:dyDescent="0.35">
      <c r="B22" t="s">
        <v>176</v>
      </c>
      <c r="C22" s="68">
        <f>IFERROR('Historical FS'!C44,0)</f>
        <v>0</v>
      </c>
      <c r="D22" s="68">
        <f>IFERROR('Historical FS'!D44,0)</f>
        <v>0</v>
      </c>
      <c r="E22" s="68">
        <f>IFERROR('Historical FS'!E44,0)</f>
        <v>0</v>
      </c>
      <c r="F22" s="68">
        <f>IFERROR('Historical FS'!F44,0)</f>
        <v>0</v>
      </c>
      <c r="G22" s="68">
        <f>IFERROR('Historical FS'!G44,0)</f>
        <v>0</v>
      </c>
      <c r="H22" s="68">
        <f>IFERROR('Historical FS'!H44,0)</f>
        <v>0</v>
      </c>
      <c r="I22" s="68">
        <f>IFERROR('Historical FS'!I44,0)</f>
        <v>0</v>
      </c>
      <c r="J22" s="68">
        <f>IFERROR('Historical FS'!J44,0)</f>
        <v>0</v>
      </c>
      <c r="K22" s="68">
        <f>IFERROR('Historical FS'!K44,0)</f>
        <v>0</v>
      </c>
      <c r="L22" s="68">
        <f>IFERROR('Historical FS'!L44,0)</f>
        <v>0</v>
      </c>
      <c r="M22" s="66"/>
      <c r="N22" s="68">
        <f t="shared" si="2"/>
        <v>0</v>
      </c>
      <c r="O22" s="68">
        <f t="shared" si="3"/>
        <v>0</v>
      </c>
    </row>
    <row r="23" spans="2:15" x14ac:dyDescent="0.35">
      <c r="B23" t="s">
        <v>178</v>
      </c>
      <c r="C23" s="68">
        <f>IFERROR('Historical FS'!C33/SUM('Historical FS'!C47:C48),0)</f>
        <v>0.55758405598661187</v>
      </c>
      <c r="D23" s="68">
        <f>IFERROR('Historical FS'!D33/SUM('Historical FS'!D47:D48),0)</f>
        <v>0.57591933570581255</v>
      </c>
      <c r="E23" s="68">
        <f>IFERROR('Historical FS'!E33/SUM('Historical FS'!E47:E48),0)</f>
        <v>0.6694135420958659</v>
      </c>
      <c r="F23" s="68">
        <f>IFERROR('Historical FS'!F33/SUM('Historical FS'!F47:F48),0)</f>
        <v>0.72937587390364811</v>
      </c>
      <c r="G23" s="68">
        <f>IFERROR('Historical FS'!G33/SUM('Historical FS'!G47:G48),0)</f>
        <v>0.76947381212784061</v>
      </c>
      <c r="H23" s="68">
        <f>IFERROR('Historical FS'!H33/SUM('Historical FS'!H47:H48),0)</f>
        <v>0.16421949070772329</v>
      </c>
      <c r="I23" s="68">
        <f>IFERROR('Historical FS'!I33/SUM('Historical FS'!I47:I48),0)</f>
        <v>0.1767799270296162</v>
      </c>
      <c r="J23" s="68">
        <f>IFERROR('Historical FS'!J33/SUM('Historical FS'!J47:J48),0)</f>
        <v>0.19272821246819338</v>
      </c>
      <c r="K23" s="68">
        <f>IFERROR('Historical FS'!K33/SUM('Historical FS'!K47:K48),0)</f>
        <v>0.18479831309305322</v>
      </c>
      <c r="L23" s="68">
        <f>IFERROR('Historical FS'!L33/SUM('Historical FS'!L47:L48),0)</f>
        <v>0.18924335047164081</v>
      </c>
      <c r="M23" s="66"/>
      <c r="N23" s="68">
        <f t="shared" si="2"/>
        <v>0.42095359135900062</v>
      </c>
      <c r="O23" s="68">
        <f t="shared" si="3"/>
        <v>0.37515613422740263</v>
      </c>
    </row>
    <row r="24" spans="2:15" x14ac:dyDescent="0.35">
      <c r="B24" t="s">
        <v>177</v>
      </c>
      <c r="C24" s="68">
        <f>IFERROR(C22*C23,0)</f>
        <v>0</v>
      </c>
      <c r="D24" s="68">
        <f t="shared" ref="D24:L24" si="4">IFERROR(D22*D23,0)</f>
        <v>0</v>
      </c>
      <c r="E24" s="68">
        <f t="shared" si="4"/>
        <v>0</v>
      </c>
      <c r="F24" s="68">
        <f t="shared" si="4"/>
        <v>0</v>
      </c>
      <c r="G24" s="68">
        <f t="shared" si="4"/>
        <v>0</v>
      </c>
      <c r="H24" s="68">
        <f t="shared" si="4"/>
        <v>0</v>
      </c>
      <c r="I24" s="68">
        <f t="shared" si="4"/>
        <v>0</v>
      </c>
      <c r="J24" s="68">
        <f t="shared" si="4"/>
        <v>0</v>
      </c>
      <c r="K24" s="68">
        <f t="shared" si="4"/>
        <v>0</v>
      </c>
      <c r="L24" s="68">
        <f t="shared" si="4"/>
        <v>0</v>
      </c>
      <c r="M24" s="66"/>
      <c r="N24" s="68">
        <f t="shared" si="2"/>
        <v>0</v>
      </c>
      <c r="O24" s="68">
        <f t="shared" si="3"/>
        <v>0</v>
      </c>
    </row>
    <row r="25" spans="2:15" x14ac:dyDescent="0.35">
      <c r="B25" s="69" t="s">
        <v>179</v>
      </c>
      <c r="C25" s="71">
        <f>IFERROR(('Historical FS'!C18-'Historical FS'!C24)/'Historical FS'!C21,0)</f>
        <v>326.88235294117646</v>
      </c>
      <c r="D25" s="71">
        <f>IFERROR(('Historical FS'!D18-'Historical FS'!D24)/'Historical FS'!D21,0)</f>
        <v>168.45714285714286</v>
      </c>
      <c r="E25" s="71">
        <f>IFERROR(('Historical FS'!E18-'Historical FS'!E24)/'Historical FS'!E21,0)</f>
        <v>268.42307692307691</v>
      </c>
      <c r="F25" s="71">
        <f>IFERROR(('Historical FS'!F18-'Historical FS'!F24)/'Historical FS'!F21,0)</f>
        <v>251.96969696969697</v>
      </c>
      <c r="G25" s="71">
        <f>IFERROR(('Historical FS'!G18-'Historical FS'!G24)/'Historical FS'!G21,0)</f>
        <v>75.076271186440678</v>
      </c>
      <c r="H25" s="71">
        <f>IFERROR(('Historical FS'!H18-'Historical FS'!H24)/'Historical FS'!H21,0)</f>
        <v>90.188034188034194</v>
      </c>
      <c r="I25" s="71">
        <f>IFERROR(('Historical FS'!I18-'Historical FS'!I24)/'Historical FS'!I21,0)</f>
        <v>111</v>
      </c>
      <c r="J25" s="71">
        <f>IFERROR(('Historical FS'!J18-'Historical FS'!J24)/'Historical FS'!J21,0)</f>
        <v>114.12280701754386</v>
      </c>
      <c r="K25" s="71">
        <f>IFERROR(('Historical FS'!K18-'Historical FS'!K24)/'Historical FS'!K21,0)</f>
        <v>40.248502994011979</v>
      </c>
      <c r="L25" s="71">
        <f>IFERROR(('Historical FS'!L18-'Historical FS'!L24)/'Historical FS'!L21,0)</f>
        <v>34.146835443037972</v>
      </c>
      <c r="M25" s="66"/>
      <c r="N25" s="82">
        <f t="shared" si="2"/>
        <v>148.05147205201621</v>
      </c>
      <c r="O25" s="82">
        <f t="shared" si="3"/>
        <v>112.56140350877193</v>
      </c>
    </row>
    <row r="26" spans="2:15" x14ac:dyDescent="0.35">
      <c r="M26" s="66"/>
      <c r="N26" s="68"/>
      <c r="O26" s="68"/>
    </row>
    <row r="27" spans="2:15" x14ac:dyDescent="0.35">
      <c r="B27" s="66" t="s">
        <v>180</v>
      </c>
      <c r="C27" s="72">
        <f>IFERROR('Historical FS'!C6/'Historical FS'!C59,0)</f>
        <v>25.463607594936708</v>
      </c>
      <c r="D27" s="72">
        <f>IFERROR('Historical FS'!D6/'Historical FS'!D59,0)</f>
        <v>30.56405529953917</v>
      </c>
      <c r="E27" s="72">
        <f>IFERROR('Historical FS'!E6/'Historical FS'!E59,0)</f>
        <v>27.133587786259543</v>
      </c>
      <c r="F27" s="72">
        <f>IFERROR('Historical FS'!F6/'Historical FS'!F59,0)</f>
        <v>21.646475770925111</v>
      </c>
      <c r="G27" s="72">
        <f>IFERROR('Historical FS'!G6/'Historical FS'!G59,0)</f>
        <v>34.624020887728463</v>
      </c>
      <c r="H27" s="72">
        <f>IFERROR('Historical FS'!H6/'Historical FS'!H59,0)</f>
        <v>26.750853242320819</v>
      </c>
      <c r="I27" s="72">
        <f>IFERROR('Historical FS'!I6/'Historical FS'!I59,0)</f>
        <v>23.455277280858677</v>
      </c>
      <c r="J27" s="72">
        <f>IFERROR('Historical FS'!J6/'Historical FS'!J59,0)</f>
        <v>19.67521922702176</v>
      </c>
      <c r="K27" s="72">
        <f>IFERROR('Historical FS'!K6/'Historical FS'!K59,0)</f>
        <v>20.652652652652652</v>
      </c>
      <c r="L27" s="72">
        <f>IFERROR('Historical FS'!L6/'Historical FS'!L59,0)</f>
        <v>16.52814873003404</v>
      </c>
      <c r="M27" s="66"/>
      <c r="N27" s="83">
        <f t="shared" si="2"/>
        <v>24.649389847227695</v>
      </c>
      <c r="O27" s="83">
        <f t="shared" si="3"/>
        <v>24.459442437897692</v>
      </c>
    </row>
    <row r="28" spans="2:15" x14ac:dyDescent="0.35">
      <c r="B28" t="s">
        <v>181</v>
      </c>
      <c r="C28" s="73">
        <f>IFERROR('Historical FS'!C6/'Historical FS'!C50,0)</f>
        <v>4.0017406440382945</v>
      </c>
      <c r="D28" s="73">
        <f>IFERROR('Historical FS'!D6/'Historical FS'!D50,0)</f>
        <v>3.818307426597582</v>
      </c>
      <c r="E28" s="73">
        <f>IFERROR('Historical FS'!E6/'Historical FS'!E50,0)</f>
        <v>3.3593233153766184</v>
      </c>
      <c r="F28" s="73">
        <f>IFERROR('Historical FS'!F6/'Historical FS'!F50,0)</f>
        <v>3.6865797617931162</v>
      </c>
      <c r="G28" s="73">
        <f>IFERROR('Historical FS'!G6/'Historical FS'!G50,0)</f>
        <v>3.3363804092586382</v>
      </c>
      <c r="H28" s="73">
        <f>IFERROR('Historical FS'!H6/'Historical FS'!H50,0)</f>
        <v>2.2324124181144973</v>
      </c>
      <c r="I28" s="73">
        <f>IFERROR('Historical FS'!I6/'Historical FS'!I50,0)</f>
        <v>2.5706303303597688</v>
      </c>
      <c r="J28" s="73">
        <f>IFERROR('Historical FS'!J6/'Historical FS'!J50,0)</f>
        <v>2.8106151990349817</v>
      </c>
      <c r="K28" s="73">
        <f>IFERROR('Historical FS'!K6/'Historical FS'!K50,0)</f>
        <v>2.4002792104548805</v>
      </c>
      <c r="L28" s="73">
        <f>IFERROR('Historical FS'!L6/'Historical FS'!L50,0)</f>
        <v>2.1894207422823446</v>
      </c>
      <c r="M28" s="66"/>
      <c r="N28" s="71">
        <f t="shared" si="2"/>
        <v>3.0405689457310716</v>
      </c>
      <c r="O28" s="71">
        <f t="shared" si="3"/>
        <v>3.0734978041468102</v>
      </c>
    </row>
    <row r="29" spans="2:15" x14ac:dyDescent="0.35">
      <c r="B29" t="s">
        <v>182</v>
      </c>
      <c r="C29" s="73">
        <f>IFERROR('Historical FS'!C6/'Historical FS'!C60,0)</f>
        <v>11.807043286867204</v>
      </c>
      <c r="D29" s="73">
        <f>IFERROR('Historical FS'!D6/'Historical FS'!D60,0)</f>
        <v>13.050767414403778</v>
      </c>
      <c r="E29" s="73">
        <f>IFERROR('Historical FS'!E6/'Historical FS'!E60,0)</f>
        <v>14.144448865897333</v>
      </c>
      <c r="F29" s="73">
        <f>IFERROR('Historical FS'!F6/'Historical FS'!F60,0)</f>
        <v>15.271950271950272</v>
      </c>
      <c r="G29" s="73">
        <f>IFERROR('Historical FS'!G6/'Historical FS'!G60,0)</f>
        <v>14.377665341525118</v>
      </c>
      <c r="H29" s="73">
        <f>IFERROR('Historical FS'!H6/'Historical FS'!H60,0)</f>
        <v>13.139983235540655</v>
      </c>
      <c r="I29" s="73">
        <f>IFERROR('Historical FS'!I6/'Historical FS'!I60,0)</f>
        <v>12.80419921875</v>
      </c>
      <c r="J29" s="73">
        <f>IFERROR('Historical FS'!J6/'Historical FS'!J60,0)</f>
        <v>14.250764525993883</v>
      </c>
      <c r="K29" s="73">
        <f>IFERROR('Historical FS'!K6/'Historical FS'!K60,0)</f>
        <v>15.389358528095475</v>
      </c>
      <c r="L29" s="73">
        <f>IFERROR('Historical FS'!L6/'Historical FS'!L60,0)</f>
        <v>14.296942242355605</v>
      </c>
      <c r="M29" s="66"/>
      <c r="N29" s="71">
        <f t="shared" si="2"/>
        <v>13.853312293137932</v>
      </c>
      <c r="O29" s="71">
        <f t="shared" si="3"/>
        <v>14.197606695945609</v>
      </c>
    </row>
    <row r="30" spans="2:15" x14ac:dyDescent="0.35">
      <c r="B30" t="s">
        <v>183</v>
      </c>
      <c r="C30" s="73">
        <f>IFERROR('Historical FS'!C6/'Historical FS'!C53,0)</f>
        <v>9.8790669122160839</v>
      </c>
      <c r="D30" s="73">
        <f>IFERROR('Historical FS'!D6/'Historical FS'!D53,0)</f>
        <v>7.5044127630685677</v>
      </c>
      <c r="E30" s="73">
        <f>IFERROR('Historical FS'!E6/'Historical FS'!E53,0)</f>
        <v>7.8500441696113077</v>
      </c>
      <c r="F30" s="73">
        <f>IFERROR('Historical FS'!F6/'Historical FS'!F53,0)</f>
        <v>8.3372216330858961</v>
      </c>
      <c r="G30" s="73">
        <f>IFERROR('Historical FS'!G6/'Historical FS'!G53,0)</f>
        <v>7.2609965322139081</v>
      </c>
      <c r="H30" s="73">
        <f>IFERROR('Historical FS'!H6/'Historical FS'!H53,0)</f>
        <v>0.91417685593763975</v>
      </c>
      <c r="I30" s="73">
        <f>IFERROR('Historical FS'!I6/'Historical FS'!I53,0)</f>
        <v>1.018903114254075</v>
      </c>
      <c r="J30" s="73">
        <f>IFERROR('Historical FS'!J6/'Historical FS'!J53,0)</f>
        <v>1.1500056949770303</v>
      </c>
      <c r="K30" s="73">
        <f>IFERROR('Historical FS'!K6/'Historical FS'!K53,0)</f>
        <v>1.1516820482286394</v>
      </c>
      <c r="L30" s="73">
        <f>IFERROR('Historical FS'!L6/'Historical FS'!L53,0)</f>
        <v>1.1617005613324745</v>
      </c>
      <c r="M30" s="66"/>
      <c r="N30" s="71">
        <f t="shared" si="2"/>
        <v>4.6228210284925622</v>
      </c>
      <c r="O30" s="71">
        <f t="shared" si="3"/>
        <v>4.2113485467731913</v>
      </c>
    </row>
    <row r="31" spans="2:15" x14ac:dyDescent="0.35">
      <c r="B31" s="69" t="s">
        <v>184</v>
      </c>
      <c r="C31" s="71">
        <f>IFERROR('Historical FS'!C6/SUM('Historical FS'!C47:C48),0)</f>
        <v>4.8966986155484555</v>
      </c>
      <c r="D31" s="71">
        <f>IFERROR('Historical FS'!D6/SUM('Historical FS'!D47:D48),0)</f>
        <v>4.9172597864768681</v>
      </c>
      <c r="E31" s="71">
        <f>IFERROR('Historical FS'!E6/SUM('Historical FS'!E47:E48),0)</f>
        <v>4.8818843565444308</v>
      </c>
      <c r="F31" s="71">
        <f>IFERROR('Historical FS'!F6/SUM('Historical FS'!F47:F48),0)</f>
        <v>4.9968221685521801</v>
      </c>
      <c r="G31" s="71">
        <f>IFERROR('Historical FS'!G6/SUM('Historical FS'!G47:G48),0)</f>
        <v>4.8344877870944218</v>
      </c>
      <c r="H31" s="71">
        <f>IFERROR('Historical FS'!H6/SUM('Historical FS'!H47:H48),0)</f>
        <v>0.98644963711876499</v>
      </c>
      <c r="I31" s="71">
        <f>IFERROR('Historical FS'!I6/SUM('Historical FS'!I47:I48),0)</f>
        <v>1.0689957399971464</v>
      </c>
      <c r="J31" s="71">
        <f>IFERROR('Historical FS'!J6/SUM('Historical FS'!J47:J48),0)</f>
        <v>1.2042779898218829</v>
      </c>
      <c r="K31" s="71">
        <f>IFERROR('Historical FS'!K6/SUM('Historical FS'!K47:K48),0)</f>
        <v>1.2084813932601819</v>
      </c>
      <c r="L31" s="71">
        <f>IFERROR('Historical FS'!L6/SUM('Historical FS'!L47:L48),0)</f>
        <v>1.2777013076393668</v>
      </c>
      <c r="M31" s="66"/>
      <c r="N31" s="71">
        <f t="shared" si="2"/>
        <v>3.0273058782053694</v>
      </c>
      <c r="O31" s="71">
        <f t="shared" si="3"/>
        <v>3.0560945473668943</v>
      </c>
    </row>
    <row r="32" spans="2:15" x14ac:dyDescent="0.35"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6"/>
      <c r="N32" s="68"/>
      <c r="O32" s="68"/>
    </row>
    <row r="33" spans="2:15" x14ac:dyDescent="0.35">
      <c r="B33" s="66" t="s">
        <v>189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85"/>
      <c r="O33" s="85"/>
    </row>
    <row r="34" spans="2:15" x14ac:dyDescent="0.35">
      <c r="B34" t="s">
        <v>185</v>
      </c>
      <c r="C34" s="74">
        <f>IFERROR(365/C27,0)</f>
        <v>14.334182563847637</v>
      </c>
      <c r="D34" s="74">
        <f t="shared" ref="D34:L34" si="5">IFERROR(365/D27,0)</f>
        <v>11.942132561365419</v>
      </c>
      <c r="E34" s="74">
        <f t="shared" si="5"/>
        <v>13.4519623013082</v>
      </c>
      <c r="F34" s="74">
        <f t="shared" si="5"/>
        <v>16.861867209361485</v>
      </c>
      <c r="G34" s="74">
        <f t="shared" si="5"/>
        <v>10.541814342809742</v>
      </c>
      <c r="H34" s="74">
        <f t="shared" si="5"/>
        <v>13.644424598111764</v>
      </c>
      <c r="I34" s="74">
        <f t="shared" si="5"/>
        <v>15.561529954619989</v>
      </c>
      <c r="J34" s="74">
        <f t="shared" si="5"/>
        <v>18.551254539451964</v>
      </c>
      <c r="K34" s="74">
        <f t="shared" si="5"/>
        <v>17.673274525009695</v>
      </c>
      <c r="L34" s="74">
        <f t="shared" si="5"/>
        <v>22.08353796676225</v>
      </c>
      <c r="M34" s="66"/>
      <c r="N34" s="74">
        <f t="shared" si="2"/>
        <v>15.464598056264816</v>
      </c>
      <c r="O34" s="74">
        <f t="shared" si="3"/>
        <v>14.947856259233813</v>
      </c>
    </row>
    <row r="35" spans="2:15" x14ac:dyDescent="0.35">
      <c r="B35" t="s">
        <v>186</v>
      </c>
      <c r="C35" s="74">
        <f>IFERROR(365/C28,0)</f>
        <v>91.210308829926049</v>
      </c>
      <c r="D35" s="74">
        <f t="shared" ref="D35:L35" si="6">IFERROR(365/D28,0)</f>
        <v>95.592093359869736</v>
      </c>
      <c r="E35" s="74">
        <f t="shared" si="6"/>
        <v>108.65283443522296</v>
      </c>
      <c r="F35" s="74">
        <f t="shared" si="6"/>
        <v>99.007758839989833</v>
      </c>
      <c r="G35" s="74">
        <f t="shared" si="6"/>
        <v>109.39999497272704</v>
      </c>
      <c r="H35" s="74">
        <f t="shared" si="6"/>
        <v>163.50025516713447</v>
      </c>
      <c r="I35" s="74">
        <f t="shared" si="6"/>
        <v>141.98852152690384</v>
      </c>
      <c r="J35" s="74">
        <f t="shared" si="6"/>
        <v>129.86480686695279</v>
      </c>
      <c r="K35" s="74">
        <f t="shared" si="6"/>
        <v>152.06564236784283</v>
      </c>
      <c r="L35" s="74">
        <f t="shared" si="6"/>
        <v>166.71076187005912</v>
      </c>
      <c r="M35" s="66"/>
      <c r="N35" s="74">
        <f t="shared" si="2"/>
        <v>125.79929782366287</v>
      </c>
      <c r="O35" s="74">
        <f t="shared" si="3"/>
        <v>119.63240091983991</v>
      </c>
    </row>
    <row r="36" spans="2:15" x14ac:dyDescent="0.35">
      <c r="B36" t="s">
        <v>187</v>
      </c>
      <c r="C36" s="74">
        <f>IFERROR(365/C29,0)</f>
        <v>30.913751320449887</v>
      </c>
      <c r="D36" s="74">
        <f t="shared" ref="D36:L36" si="7">IFERROR(365/D29,0)</f>
        <v>27.967703998552562</v>
      </c>
      <c r="E36" s="74">
        <f t="shared" si="7"/>
        <v>25.805176536784359</v>
      </c>
      <c r="F36" s="74">
        <f t="shared" si="7"/>
        <v>23.90002543881964</v>
      </c>
      <c r="G36" s="74">
        <f t="shared" si="7"/>
        <v>25.386597290299875</v>
      </c>
      <c r="H36" s="74">
        <f t="shared" si="7"/>
        <v>27.777813217657563</v>
      </c>
      <c r="I36" s="74">
        <f t="shared" si="7"/>
        <v>28.506273119017656</v>
      </c>
      <c r="J36" s="74">
        <f t="shared" si="7"/>
        <v>25.612660944206009</v>
      </c>
      <c r="K36" s="74">
        <f t="shared" si="7"/>
        <v>23.717687734263926</v>
      </c>
      <c r="L36" s="74">
        <f t="shared" si="7"/>
        <v>25.529934570111376</v>
      </c>
      <c r="M36" s="66"/>
      <c r="N36" s="74">
        <f t="shared" si="2"/>
        <v>26.511762417016286</v>
      </c>
      <c r="O36" s="74">
        <f t="shared" si="3"/>
        <v>25.708918740495186</v>
      </c>
    </row>
    <row r="37" spans="2:15" x14ac:dyDescent="0.35">
      <c r="B37" s="69" t="s">
        <v>188</v>
      </c>
      <c r="C37" s="75">
        <f>IFERROR(SUM(C34,C36)-C35,0)</f>
        <v>-45.962374945628525</v>
      </c>
      <c r="D37" s="75">
        <f t="shared" ref="D37:L37" si="8">IFERROR(SUM(D34,D36)-D35,0)</f>
        <v>-55.682256799951759</v>
      </c>
      <c r="E37" s="75">
        <f t="shared" si="8"/>
        <v>-69.395695597130398</v>
      </c>
      <c r="F37" s="75">
        <f t="shared" si="8"/>
        <v>-58.245866191808709</v>
      </c>
      <c r="G37" s="75">
        <f t="shared" si="8"/>
        <v>-73.471583339617425</v>
      </c>
      <c r="H37" s="75">
        <f t="shared" si="8"/>
        <v>-122.07801735136513</v>
      </c>
      <c r="I37" s="75">
        <f t="shared" si="8"/>
        <v>-97.92071845326619</v>
      </c>
      <c r="J37" s="75">
        <f t="shared" si="8"/>
        <v>-85.700891383294817</v>
      </c>
      <c r="K37" s="75">
        <f t="shared" si="8"/>
        <v>-110.67468010856921</v>
      </c>
      <c r="L37" s="75">
        <f t="shared" si="8"/>
        <v>-119.09728933318549</v>
      </c>
      <c r="M37" s="66"/>
      <c r="N37" s="84">
        <f t="shared" si="2"/>
        <v>-83.82293735038175</v>
      </c>
      <c r="O37" s="84">
        <f t="shared" si="3"/>
        <v>-79.586237361456114</v>
      </c>
    </row>
    <row r="38" spans="2:15" x14ac:dyDescent="0.35">
      <c r="M38" s="66"/>
      <c r="N38" s="68"/>
      <c r="O38" s="68"/>
    </row>
    <row r="39" spans="2:15" x14ac:dyDescent="0.35">
      <c r="B39" s="66" t="s">
        <v>190</v>
      </c>
      <c r="C39" s="67">
        <f>IFERROR('Historical FS'!C80/'Historical FS'!C6,0)</f>
        <v>0.12707388305474429</v>
      </c>
      <c r="D39" s="67">
        <f>IFERROR('Historical FS'!D80/'Historical FS'!D6,0)</f>
        <v>0.17480851577106327</v>
      </c>
      <c r="E39" s="67">
        <f>IFERROR('Historical FS'!E80/'Historical FS'!E6,0)</f>
        <v>0.19397946265297511</v>
      </c>
      <c r="F39" s="67">
        <f>IFERROR('Historical FS'!F80/'Historical FS'!F6,0)</f>
        <v>0.1388450775883999</v>
      </c>
      <c r="G39" s="67">
        <f>IFERROR('Historical FS'!G80/'Historical FS'!G6,0)</f>
        <v>0.20194555463388886</v>
      </c>
      <c r="H39" s="67">
        <f>IFERROR('Historical FS'!H80/'Historical FS'!H6,0)</f>
        <v>0.19269371438292082</v>
      </c>
      <c r="I39" s="67">
        <f>IFERROR('Historical FS'!I80/'Historical FS'!I6,0)</f>
        <v>0.15345307554436946</v>
      </c>
      <c r="J39" s="67">
        <f>IFERROR('Historical FS'!J80/'Historical FS'!J6,0)</f>
        <v>0.14907560250907889</v>
      </c>
      <c r="K39" s="67">
        <f>IFERROR('Historical FS'!K80/'Historical FS'!K6,0)</f>
        <v>0.27113222179139201</v>
      </c>
      <c r="L39" s="67">
        <f>IFERROR('Historical FS'!L80/'Historical FS'!L6,0)</f>
        <v>0.17582104212544161</v>
      </c>
      <c r="M39" s="66"/>
      <c r="N39" s="79">
        <f t="shared" si="2"/>
        <v>0.17788281500542741</v>
      </c>
      <c r="O39" s="79">
        <f t="shared" si="3"/>
        <v>0.17531477894825243</v>
      </c>
    </row>
    <row r="40" spans="2:15" x14ac:dyDescent="0.35">
      <c r="B40" t="s">
        <v>191</v>
      </c>
      <c r="C40" s="68">
        <f>IFERROR('Historical FS'!C80/'Historical FS'!C64,0)</f>
        <v>0.27648211992158456</v>
      </c>
      <c r="D40" s="68">
        <f>IFERROR('Historical FS'!D80/'Historical FS'!D64,0)</f>
        <v>0.36909461352349421</v>
      </c>
      <c r="E40" s="68">
        <f>IFERROR('Historical FS'!E80/'Historical FS'!E64,0)</f>
        <v>0.38601500391893406</v>
      </c>
      <c r="F40" s="68">
        <f>IFERROR('Historical FS'!F80/'Historical FS'!F64,0)</f>
        <v>0.29298405711525044</v>
      </c>
      <c r="G40" s="68">
        <f>IFERROR('Historical FS'!G80/'Historical FS'!G64,0)</f>
        <v>0.39865032501364561</v>
      </c>
      <c r="H40" s="68">
        <f>IFERROR('Historical FS'!H80/'Historical FS'!H64,0)</f>
        <v>0.13183008437590923</v>
      </c>
      <c r="I40" s="68">
        <f>IFERROR('Historical FS'!I80/'Historical FS'!I64,0)</f>
        <v>0.1141463137888974</v>
      </c>
      <c r="J40" s="68">
        <f>IFERROR('Historical FS'!J80/'Historical FS'!J64,0)</f>
        <v>0.12358197517686824</v>
      </c>
      <c r="K40" s="68">
        <f>IFERROR('Historical FS'!K80/'Historical FS'!K64,0)</f>
        <v>0.21381340060390627</v>
      </c>
      <c r="L40" s="68">
        <f>IFERROR('Historical FS'!L80/'Historical FS'!L64,0)</f>
        <v>0.13893340010015023</v>
      </c>
      <c r="M40" s="66"/>
      <c r="N40" s="68">
        <f t="shared" si="2"/>
        <v>0.244553129353864</v>
      </c>
      <c r="O40" s="68">
        <f t="shared" si="3"/>
        <v>0.24514776026274543</v>
      </c>
    </row>
    <row r="41" spans="2:15" x14ac:dyDescent="0.35">
      <c r="B41" s="69" t="s">
        <v>192</v>
      </c>
      <c r="C41" s="70">
        <f>IFERROR('Historical FS'!C80/'Historical FS'!C49,0)</f>
        <v>23.10734463276836</v>
      </c>
      <c r="D41" s="70">
        <f>IFERROR('Historical FS'!D80/'Historical FS'!D49,0)</f>
        <v>20.927797833935017</v>
      </c>
      <c r="E41" s="70">
        <f>IFERROR('Historical FS'!E80/'Historical FS'!E49,0)</f>
        <v>0</v>
      </c>
      <c r="F41" s="70">
        <f>IFERROR('Historical FS'!F80/'Historical FS'!F49,0)</f>
        <v>55.131313131313128</v>
      </c>
      <c r="G41" s="70">
        <f>IFERROR('Historical FS'!G80/'Historical FS'!G49,0)</f>
        <v>0</v>
      </c>
      <c r="H41" s="70">
        <f>IFERROR('Historical FS'!H80/'Historical FS'!H49,0)</f>
        <v>0</v>
      </c>
      <c r="I41" s="70">
        <f>IFERROR('Historical FS'!I80/'Historical FS'!I49,0)</f>
        <v>7.7162032598274211</v>
      </c>
      <c r="J41" s="70">
        <f>IFERROR('Historical FS'!J80/'Historical FS'!J49,0)</f>
        <v>7.4085315832649714</v>
      </c>
      <c r="K41" s="70">
        <f>IFERROR('Historical FS'!K80/'Historical FS'!K49,0)</f>
        <v>11.308625336927223</v>
      </c>
      <c r="L41" s="70">
        <f>IFERROR('Historical FS'!L80/'Historical FS'!L49,0)</f>
        <v>6.7342233009708741</v>
      </c>
      <c r="M41" s="66"/>
      <c r="N41" s="81">
        <f t="shared" si="2"/>
        <v>13.2334039079007</v>
      </c>
      <c r="O41" s="81">
        <f t="shared" si="3"/>
        <v>7.5623674215461962</v>
      </c>
    </row>
  </sheetData>
  <dataValidations count="3">
    <dataValidation allowBlank="1" showInputMessage="1" showErrorMessage="1" promptTitle="debtor turnover ratio" prompt="Debtor Turnover Ratio tells you how many times per year you collect your receivables." sqref="B27" xr:uid="{B3D7EDB5-D443-4157-9AAA-9C44AEFD1F4F}"/>
    <dataValidation allowBlank="1" showInputMessage="1" showErrorMessage="1" promptTitle="Debtor days" prompt="Debtor Days tells you how many days on average it takes to collect once." sqref="B34" xr:uid="{3AC6A8DF-54B3-4AF4-AD49-0A2F5FD16379}"/>
    <dataValidation allowBlank="1" showInputMessage="1" showErrorMessage="1" promptTitle="cash conversion cycle" prompt="How long it takes for a company to convert its investments in inventory and other resources into cash flows from sales._x000a_-ve CCC: You are getting paid by your customers before you have to pay your suppliers." sqref="B37" xr:uid="{61B3CF3E-BF65-405A-AC2C-A77640AF9959}"/>
  </dataValidation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4D5AD450-F533-468C-A6F9-2FE4A17B2F2D}">
          <x14:colorSeries theme="7" tint="0.59999389629810485"/>
          <x14:colorNegative rgb="FFD00000"/>
          <x14:colorAxis rgb="FF000000"/>
          <x14:colorMarkers theme="7" tint="-0.249977111117893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displayEmptyCellsAs="gap" markers="1" xr2:uid="{3CC97AED-EE62-4551-97AE-A65DC7701A80}">
          <x14:colorSeries theme="7" tint="0.59999389629810485"/>
          <x14:colorNegative rgb="FFD00000"/>
          <x14:colorAxis rgb="FF000000"/>
          <x14:colorMarkers theme="7" tint="-0.249977111117893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1CA6-34EE-42D5-AFC6-81905BADD427}">
  <sheetPr>
    <tabColor rgb="FF002060"/>
  </sheetPr>
  <dimension ref="B5:O24"/>
  <sheetViews>
    <sheetView showGridLines="0" topLeftCell="A2" workbookViewId="0">
      <selection activeCell="F5" sqref="F5"/>
    </sheetView>
  </sheetViews>
  <sheetFormatPr defaultRowHeight="14.5" x14ac:dyDescent="0.35"/>
  <cols>
    <col min="1" max="1" width="1.81640625" customWidth="1"/>
    <col min="2" max="2" width="12" customWidth="1"/>
    <col min="3" max="3" width="8.7265625" customWidth="1"/>
    <col min="4" max="4" width="12.26953125" customWidth="1"/>
    <col min="5" max="5" width="16.36328125" customWidth="1"/>
    <col min="6" max="6" width="2.6328125" customWidth="1"/>
    <col min="7" max="7" width="12" customWidth="1"/>
    <col min="9" max="9" width="12.26953125" customWidth="1"/>
    <col min="10" max="10" width="13.26953125" customWidth="1"/>
    <col min="11" max="11" width="2.6328125" customWidth="1"/>
    <col min="12" max="12" width="12" customWidth="1"/>
    <col min="14" max="14" width="12.26953125" customWidth="1"/>
    <col min="15" max="15" width="13.26953125" customWidth="1"/>
  </cols>
  <sheetData>
    <row r="5" spans="2:15" x14ac:dyDescent="0.35">
      <c r="B5" s="219" t="str">
        <f>'Data Sheet'!B1&amp; " - "&amp;"Sales Forecasting"</f>
        <v>HINDUSTAN UNILEVER LTD - Sales Forecasting</v>
      </c>
      <c r="C5" s="219"/>
      <c r="D5" s="219"/>
      <c r="E5" s="219"/>
      <c r="F5" s="97"/>
      <c r="G5" s="218" t="str">
        <f>'Data Sheet'!B1&amp; " - "&amp;" EBITDA Forecasting"</f>
        <v>HINDUSTAN UNILEVER LTD -  EBITDA Forecasting</v>
      </c>
      <c r="H5" s="218"/>
      <c r="I5" s="218"/>
      <c r="J5" s="218"/>
      <c r="L5" s="218" t="str">
        <f>'Data Sheet'!B1&amp;" - "&amp; "Netprofit Forecasting"</f>
        <v>HINDUSTAN UNILEVER LTD - Netprofit Forecasting</v>
      </c>
      <c r="M5" s="218"/>
      <c r="N5" s="218"/>
      <c r="O5" s="218"/>
    </row>
    <row r="6" spans="2:15" x14ac:dyDescent="0.35">
      <c r="B6" s="87" t="s">
        <v>196</v>
      </c>
      <c r="C6" s="88" t="s">
        <v>197</v>
      </c>
      <c r="D6" s="88" t="s">
        <v>97</v>
      </c>
      <c r="E6" s="88" t="s">
        <v>198</v>
      </c>
      <c r="G6" s="87" t="s">
        <v>196</v>
      </c>
      <c r="H6" s="88" t="s">
        <v>197</v>
      </c>
      <c r="I6" s="88" t="s">
        <v>104</v>
      </c>
      <c r="J6" s="88" t="s">
        <v>199</v>
      </c>
      <c r="L6" s="87" t="s">
        <v>196</v>
      </c>
      <c r="M6" s="88" t="s">
        <v>197</v>
      </c>
      <c r="N6" s="88" t="s">
        <v>14</v>
      </c>
      <c r="O6" s="88" t="s">
        <v>200</v>
      </c>
    </row>
    <row r="7" spans="2:15" x14ac:dyDescent="0.35">
      <c r="B7" s="20">
        <v>1</v>
      </c>
      <c r="C7" s="89">
        <f>'Data Sheet'!B16</f>
        <v>42460</v>
      </c>
      <c r="D7" s="90">
        <f t="array" ref="D7:D16">TRANSPOSE('Data Sheet'!B17:K17)</f>
        <v>32186</v>
      </c>
      <c r="G7" s="20">
        <v>1</v>
      </c>
      <c r="H7" s="89">
        <f>C7</f>
        <v>42460</v>
      </c>
      <c r="I7" s="90">
        <f t="array" ref="I7:I16">TRANSPOSE('Historical FS'!C18:L18)</f>
        <v>5910</v>
      </c>
      <c r="L7" s="20">
        <v>1</v>
      </c>
      <c r="M7" s="89">
        <f>H7</f>
        <v>42460</v>
      </c>
      <c r="N7" s="90">
        <f t="array" ref="N7:N16">TRANSPOSE('Data Sheet'!B30:K30)</f>
        <v>4151</v>
      </c>
    </row>
    <row r="8" spans="2:15" x14ac:dyDescent="0.35">
      <c r="B8" s="20">
        <f>B7+1</f>
        <v>2</v>
      </c>
      <c r="C8" s="89">
        <f>C7+365</f>
        <v>42825</v>
      </c>
      <c r="D8" s="90">
        <v>33162</v>
      </c>
      <c r="E8" s="91">
        <f>IFERROR(D8/D7-1,0)</f>
        <v>3.03237432424035E-2</v>
      </c>
      <c r="G8" s="20">
        <f>G7+1</f>
        <v>2</v>
      </c>
      <c r="H8" s="89">
        <f t="shared" ref="H8:H23" si="0">C8</f>
        <v>42825</v>
      </c>
      <c r="I8" s="90">
        <v>6328</v>
      </c>
      <c r="J8" s="91">
        <f>IFERROR(I8/I7-1,0)</f>
        <v>7.0727580372250465E-2</v>
      </c>
      <c r="L8" s="20">
        <f>L7+1</f>
        <v>2</v>
      </c>
      <c r="M8" s="89">
        <f t="shared" ref="M8:M23" si="1">H8</f>
        <v>42825</v>
      </c>
      <c r="N8" s="90">
        <v>4476</v>
      </c>
      <c r="O8" s="91">
        <f>IFERROR(N8/N7-1,0)</f>
        <v>7.8294386894724122E-2</v>
      </c>
    </row>
    <row r="9" spans="2:15" x14ac:dyDescent="0.35">
      <c r="B9" s="20">
        <f t="shared" ref="B9:B23" si="2">B8+1</f>
        <v>3</v>
      </c>
      <c r="C9" s="89">
        <f t="shared" ref="C9:C23" si="3">C8+365</f>
        <v>43190</v>
      </c>
      <c r="D9" s="90">
        <v>35545</v>
      </c>
      <c r="E9" s="91">
        <f t="shared" ref="E9:E23" si="4">IFERROR(D9/D8-1,0)</f>
        <v>7.1859357095470644E-2</v>
      </c>
      <c r="G9" s="20">
        <f t="shared" ref="G9:G23" si="5">G8+1</f>
        <v>3</v>
      </c>
      <c r="H9" s="89">
        <f t="shared" si="0"/>
        <v>43190</v>
      </c>
      <c r="I9" s="90">
        <v>7499</v>
      </c>
      <c r="J9" s="91">
        <f t="shared" ref="J9:J23" si="6">IFERROR(I9/I8-1,0)</f>
        <v>0.1850505689001265</v>
      </c>
      <c r="L9" s="20">
        <f t="shared" ref="L9:L23" si="7">L8+1</f>
        <v>3</v>
      </c>
      <c r="M9" s="89">
        <f t="shared" si="1"/>
        <v>43190</v>
      </c>
      <c r="N9" s="90">
        <v>5214</v>
      </c>
      <c r="O9" s="91">
        <f t="shared" ref="O9:O23" si="8">IFERROR(N9/N8-1,0)</f>
        <v>0.16487935656836461</v>
      </c>
    </row>
    <row r="10" spans="2:15" x14ac:dyDescent="0.35">
      <c r="B10" s="20">
        <f t="shared" si="2"/>
        <v>4</v>
      </c>
      <c r="C10" s="89">
        <f t="shared" si="3"/>
        <v>43555</v>
      </c>
      <c r="D10" s="90">
        <v>39310</v>
      </c>
      <c r="E10" s="91">
        <f t="shared" si="4"/>
        <v>0.1059220706147137</v>
      </c>
      <c r="G10" s="20">
        <f t="shared" si="5"/>
        <v>4</v>
      </c>
      <c r="H10" s="89">
        <f t="shared" si="0"/>
        <v>43555</v>
      </c>
      <c r="I10" s="90">
        <v>8880</v>
      </c>
      <c r="J10" s="91">
        <f t="shared" si="6"/>
        <v>0.1841578877183625</v>
      </c>
      <c r="L10" s="20">
        <f t="shared" si="7"/>
        <v>4</v>
      </c>
      <c r="M10" s="89">
        <f t="shared" si="1"/>
        <v>43555</v>
      </c>
      <c r="N10" s="90">
        <v>6054</v>
      </c>
      <c r="O10" s="91">
        <f t="shared" si="8"/>
        <v>0.16110471806674331</v>
      </c>
    </row>
    <row r="11" spans="2:15" x14ac:dyDescent="0.35">
      <c r="B11" s="20">
        <f t="shared" si="2"/>
        <v>5</v>
      </c>
      <c r="C11" s="89">
        <f t="shared" si="3"/>
        <v>43920</v>
      </c>
      <c r="D11" s="90">
        <v>39783</v>
      </c>
      <c r="E11" s="91">
        <f t="shared" si="4"/>
        <v>1.2032561689137689E-2</v>
      </c>
      <c r="G11" s="20">
        <f t="shared" si="5"/>
        <v>5</v>
      </c>
      <c r="H11" s="89">
        <f t="shared" si="0"/>
        <v>43920</v>
      </c>
      <c r="I11" s="90">
        <v>9861</v>
      </c>
      <c r="J11" s="91">
        <f t="shared" si="6"/>
        <v>0.11047297297297298</v>
      </c>
      <c r="L11" s="20">
        <f t="shared" si="7"/>
        <v>5</v>
      </c>
      <c r="M11" s="89">
        <f t="shared" si="1"/>
        <v>43920</v>
      </c>
      <c r="N11" s="90">
        <v>6748</v>
      </c>
      <c r="O11" s="91">
        <f t="shared" si="8"/>
        <v>0.11463495209778651</v>
      </c>
    </row>
    <row r="12" spans="2:15" x14ac:dyDescent="0.35">
      <c r="B12" s="20">
        <f t="shared" si="2"/>
        <v>6</v>
      </c>
      <c r="C12" s="89">
        <f t="shared" si="3"/>
        <v>44285</v>
      </c>
      <c r="D12" s="90">
        <v>47028</v>
      </c>
      <c r="E12" s="91">
        <f t="shared" si="4"/>
        <v>0.18211296282331646</v>
      </c>
      <c r="G12" s="20">
        <f t="shared" si="5"/>
        <v>6</v>
      </c>
      <c r="H12" s="89">
        <f t="shared" si="0"/>
        <v>44285</v>
      </c>
      <c r="I12" s="90">
        <v>11626</v>
      </c>
      <c r="J12" s="91">
        <f t="shared" si="6"/>
        <v>0.1789879322583916</v>
      </c>
      <c r="L12" s="20">
        <f t="shared" si="7"/>
        <v>6</v>
      </c>
      <c r="M12" s="89">
        <f t="shared" si="1"/>
        <v>44285</v>
      </c>
      <c r="N12" s="90">
        <v>7995</v>
      </c>
      <c r="O12" s="91">
        <f t="shared" si="8"/>
        <v>0.18479549496147007</v>
      </c>
    </row>
    <row r="13" spans="2:15" x14ac:dyDescent="0.35">
      <c r="B13" s="20">
        <f t="shared" si="2"/>
        <v>7</v>
      </c>
      <c r="C13" s="89">
        <f t="shared" si="3"/>
        <v>44650</v>
      </c>
      <c r="D13" s="90">
        <v>52446</v>
      </c>
      <c r="E13" s="91">
        <f t="shared" si="4"/>
        <v>0.11520796121459553</v>
      </c>
      <c r="G13" s="20">
        <f t="shared" si="5"/>
        <v>7</v>
      </c>
      <c r="H13" s="89">
        <f t="shared" si="0"/>
        <v>44650</v>
      </c>
      <c r="I13" s="90">
        <v>12857</v>
      </c>
      <c r="J13" s="91">
        <f t="shared" si="6"/>
        <v>0.10588336487183891</v>
      </c>
      <c r="L13" s="20">
        <f t="shared" si="7"/>
        <v>7</v>
      </c>
      <c r="M13" s="89">
        <f t="shared" si="1"/>
        <v>44650</v>
      </c>
      <c r="N13" s="90">
        <v>8879</v>
      </c>
      <c r="O13" s="91">
        <f t="shared" si="8"/>
        <v>0.11056910569105693</v>
      </c>
    </row>
    <row r="14" spans="2:15" x14ac:dyDescent="0.35">
      <c r="B14" s="20">
        <f t="shared" si="2"/>
        <v>8</v>
      </c>
      <c r="C14" s="89">
        <f t="shared" si="3"/>
        <v>45015</v>
      </c>
      <c r="D14" s="90">
        <v>60580</v>
      </c>
      <c r="E14" s="91">
        <f t="shared" si="4"/>
        <v>0.15509285741524614</v>
      </c>
      <c r="G14" s="20">
        <f t="shared" si="5"/>
        <v>8</v>
      </c>
      <c r="H14" s="89">
        <f t="shared" si="0"/>
        <v>45015</v>
      </c>
      <c r="I14" s="90">
        <v>14147</v>
      </c>
      <c r="J14" s="91">
        <f t="shared" si="6"/>
        <v>0.10033444816053505</v>
      </c>
      <c r="L14" s="20">
        <f t="shared" si="7"/>
        <v>8</v>
      </c>
      <c r="M14" s="89">
        <f t="shared" si="1"/>
        <v>45015</v>
      </c>
      <c r="N14" s="90">
        <v>10120</v>
      </c>
      <c r="O14" s="91">
        <f t="shared" si="8"/>
        <v>0.13976799189097866</v>
      </c>
    </row>
    <row r="15" spans="2:15" x14ac:dyDescent="0.35">
      <c r="B15" s="20">
        <f t="shared" si="2"/>
        <v>9</v>
      </c>
      <c r="C15" s="89">
        <f t="shared" si="3"/>
        <v>45380</v>
      </c>
      <c r="D15" s="90">
        <v>61896</v>
      </c>
      <c r="E15" s="91">
        <f t="shared" si="4"/>
        <v>2.1723341036645749E-2</v>
      </c>
      <c r="G15" s="20">
        <f t="shared" si="5"/>
        <v>9</v>
      </c>
      <c r="H15" s="89">
        <f t="shared" si="0"/>
        <v>45380</v>
      </c>
      <c r="I15" s="90">
        <v>14659</v>
      </c>
      <c r="J15" s="91">
        <f t="shared" si="6"/>
        <v>3.6191418675337594E-2</v>
      </c>
      <c r="L15" s="20">
        <f t="shared" si="7"/>
        <v>9</v>
      </c>
      <c r="M15" s="89">
        <f t="shared" si="1"/>
        <v>45380</v>
      </c>
      <c r="N15" s="90">
        <v>10277</v>
      </c>
      <c r="O15" s="91">
        <f t="shared" si="8"/>
        <v>1.5513833992094828E-2</v>
      </c>
    </row>
    <row r="16" spans="2:15" x14ac:dyDescent="0.35">
      <c r="B16" s="20">
        <f t="shared" si="2"/>
        <v>10</v>
      </c>
      <c r="C16" s="89">
        <f t="shared" si="3"/>
        <v>45745</v>
      </c>
      <c r="D16" s="90">
        <v>63121</v>
      </c>
      <c r="E16" s="91">
        <f t="shared" si="4"/>
        <v>1.9791262763344974E-2</v>
      </c>
      <c r="G16" s="20">
        <f t="shared" si="5"/>
        <v>10</v>
      </c>
      <c r="H16" s="89">
        <f t="shared" si="0"/>
        <v>45745</v>
      </c>
      <c r="I16" s="90">
        <v>14843</v>
      </c>
      <c r="J16" s="91">
        <f t="shared" si="6"/>
        <v>1.255201582645471E-2</v>
      </c>
      <c r="L16" s="20">
        <f t="shared" si="7"/>
        <v>10</v>
      </c>
      <c r="M16" s="89">
        <f t="shared" si="1"/>
        <v>45745</v>
      </c>
      <c r="N16" s="90">
        <v>10649</v>
      </c>
      <c r="O16" s="91">
        <f t="shared" si="8"/>
        <v>3.6197333852291624E-2</v>
      </c>
    </row>
    <row r="17" spans="2:15" x14ac:dyDescent="0.35">
      <c r="B17" s="92">
        <f t="shared" si="2"/>
        <v>11</v>
      </c>
      <c r="C17" s="93">
        <f t="shared" si="3"/>
        <v>46110</v>
      </c>
      <c r="D17" s="94">
        <f>FORECAST(B17,$D$7:$D$16,$B$7:$B$16)</f>
        <v>68218.399999999994</v>
      </c>
      <c r="E17" s="95">
        <f t="shared" si="4"/>
        <v>8.0756008301515969E-2</v>
      </c>
      <c r="G17" s="92">
        <f t="shared" si="5"/>
        <v>11</v>
      </c>
      <c r="H17" s="93">
        <f t="shared" si="0"/>
        <v>46110</v>
      </c>
      <c r="I17" s="94">
        <f>FORECAST(G17,$I$7:$I$16,$G$7:$G$16)</f>
        <v>16849.333333333336</v>
      </c>
      <c r="J17" s="95">
        <f t="shared" si="6"/>
        <v>0.13517033843113491</v>
      </c>
      <c r="L17" s="92">
        <f t="shared" si="7"/>
        <v>11</v>
      </c>
      <c r="M17" s="93">
        <f t="shared" si="1"/>
        <v>46110</v>
      </c>
      <c r="N17" s="94">
        <f>FORECAST(L17,$N$7:$N$16,$L$7:$L$16)</f>
        <v>11901</v>
      </c>
      <c r="O17" s="95">
        <f t="shared" si="8"/>
        <v>0.11756972485679396</v>
      </c>
    </row>
    <row r="18" spans="2:15" x14ac:dyDescent="0.35">
      <c r="B18" s="92">
        <f t="shared" si="2"/>
        <v>12</v>
      </c>
      <c r="C18" s="93">
        <f t="shared" si="3"/>
        <v>46475</v>
      </c>
      <c r="D18" s="94">
        <f t="shared" ref="D18:D23" si="9">FORECAST(B18,$D$7:$D$16,$B$7:$B$16)</f>
        <v>72166.163636363635</v>
      </c>
      <c r="E18" s="95">
        <f t="shared" si="4"/>
        <v>5.7869484425955964E-2</v>
      </c>
      <c r="G18" s="92">
        <f t="shared" si="5"/>
        <v>12</v>
      </c>
      <c r="H18" s="93">
        <f t="shared" si="0"/>
        <v>46475</v>
      </c>
      <c r="I18" s="94">
        <f t="shared" ref="I18:I23" si="10">FORECAST(G18,$I$7:$I$16,$G$7:$G$16)</f>
        <v>17974.484848484848</v>
      </c>
      <c r="J18" s="95">
        <f t="shared" si="6"/>
        <v>6.6777212658355234E-2</v>
      </c>
      <c r="L18" s="92">
        <f t="shared" si="7"/>
        <v>12</v>
      </c>
      <c r="M18" s="93">
        <f t="shared" si="1"/>
        <v>46475</v>
      </c>
      <c r="N18" s="94">
        <f t="shared" ref="N18:N23" si="11">FORECAST(L18,$N$7:$N$16,$L$7:$L$16)</f>
        <v>12709.127272727274</v>
      </c>
      <c r="O18" s="95">
        <f t="shared" si="8"/>
        <v>6.7904148620054894E-2</v>
      </c>
    </row>
    <row r="19" spans="2:15" x14ac:dyDescent="0.35">
      <c r="B19" s="92">
        <f t="shared" si="2"/>
        <v>13</v>
      </c>
      <c r="C19" s="93">
        <f t="shared" si="3"/>
        <v>46840</v>
      </c>
      <c r="D19" s="94">
        <f t="shared" si="9"/>
        <v>76113.927272727276</v>
      </c>
      <c r="E19" s="95">
        <f t="shared" si="4"/>
        <v>5.4703803520108618E-2</v>
      </c>
      <c r="G19" s="92">
        <f t="shared" si="5"/>
        <v>13</v>
      </c>
      <c r="H19" s="93">
        <f t="shared" si="0"/>
        <v>46840</v>
      </c>
      <c r="I19" s="94">
        <f t="shared" si="10"/>
        <v>19099.636363636364</v>
      </c>
      <c r="J19" s="95">
        <f t="shared" si="6"/>
        <v>6.259714949473838E-2</v>
      </c>
      <c r="L19" s="92">
        <f t="shared" si="7"/>
        <v>13</v>
      </c>
      <c r="M19" s="93">
        <f t="shared" si="1"/>
        <v>46840</v>
      </c>
      <c r="N19" s="94">
        <f t="shared" si="11"/>
        <v>13517.254545454545</v>
      </c>
      <c r="O19" s="95">
        <f t="shared" si="8"/>
        <v>6.3586370282202154E-2</v>
      </c>
    </row>
    <row r="20" spans="2:15" x14ac:dyDescent="0.35">
      <c r="B20" s="92">
        <f t="shared" si="2"/>
        <v>14</v>
      </c>
      <c r="C20" s="93">
        <f t="shared" si="3"/>
        <v>47205</v>
      </c>
      <c r="D20" s="94">
        <f t="shared" si="9"/>
        <v>80061.690909090903</v>
      </c>
      <c r="E20" s="95">
        <f t="shared" si="4"/>
        <v>5.1866508243862075E-2</v>
      </c>
      <c r="G20" s="92">
        <f t="shared" si="5"/>
        <v>14</v>
      </c>
      <c r="H20" s="93">
        <f t="shared" si="0"/>
        <v>47205</v>
      </c>
      <c r="I20" s="94">
        <f t="shared" si="10"/>
        <v>20224.78787878788</v>
      </c>
      <c r="J20" s="95">
        <f t="shared" si="6"/>
        <v>5.890957784377937E-2</v>
      </c>
      <c r="L20" s="92">
        <f t="shared" si="7"/>
        <v>14</v>
      </c>
      <c r="M20" s="93">
        <f t="shared" si="1"/>
        <v>47205</v>
      </c>
      <c r="N20" s="94">
        <f t="shared" si="11"/>
        <v>14325.381818181819</v>
      </c>
      <c r="O20" s="95">
        <f t="shared" si="8"/>
        <v>5.9784867556483379E-2</v>
      </c>
    </row>
    <row r="21" spans="2:15" x14ac:dyDescent="0.35">
      <c r="B21" s="92">
        <f t="shared" si="2"/>
        <v>15</v>
      </c>
      <c r="C21" s="93">
        <f t="shared" si="3"/>
        <v>47570</v>
      </c>
      <c r="D21" s="94">
        <f t="shared" si="9"/>
        <v>84009.454545454544</v>
      </c>
      <c r="E21" s="95">
        <f t="shared" si="4"/>
        <v>4.930902147503069E-2</v>
      </c>
      <c r="G21" s="92">
        <f t="shared" si="5"/>
        <v>15</v>
      </c>
      <c r="H21" s="93">
        <f t="shared" si="0"/>
        <v>47570</v>
      </c>
      <c r="I21" s="94">
        <f t="shared" si="10"/>
        <v>21349.939393939392</v>
      </c>
      <c r="J21" s="95">
        <f t="shared" si="6"/>
        <v>5.5632302395200561E-2</v>
      </c>
      <c r="L21" s="92">
        <f t="shared" si="7"/>
        <v>15</v>
      </c>
      <c r="M21" s="93">
        <f t="shared" si="1"/>
        <v>47570</v>
      </c>
      <c r="N21" s="94">
        <f t="shared" si="11"/>
        <v>15133.50909090909</v>
      </c>
      <c r="O21" s="95">
        <f t="shared" si="8"/>
        <v>5.6412267608922928E-2</v>
      </c>
    </row>
    <row r="22" spans="2:15" x14ac:dyDescent="0.35">
      <c r="B22" s="92">
        <f t="shared" si="2"/>
        <v>16</v>
      </c>
      <c r="C22" s="93">
        <f t="shared" si="3"/>
        <v>47935</v>
      </c>
      <c r="D22" s="94">
        <f t="shared" si="9"/>
        <v>87957.218181818185</v>
      </c>
      <c r="E22" s="95">
        <f t="shared" si="4"/>
        <v>4.6991897015920436E-2</v>
      </c>
      <c r="G22" s="92">
        <f t="shared" si="5"/>
        <v>16</v>
      </c>
      <c r="H22" s="93">
        <f t="shared" si="0"/>
        <v>47935</v>
      </c>
      <c r="I22" s="94">
        <f t="shared" si="10"/>
        <v>22475.090909090912</v>
      </c>
      <c r="J22" s="95">
        <f t="shared" si="6"/>
        <v>5.2700454759647464E-2</v>
      </c>
      <c r="L22" s="92">
        <f t="shared" si="7"/>
        <v>16</v>
      </c>
      <c r="M22" s="93">
        <f t="shared" si="1"/>
        <v>47935</v>
      </c>
      <c r="N22" s="94">
        <f t="shared" si="11"/>
        <v>15941.636363636364</v>
      </c>
      <c r="O22" s="95">
        <f t="shared" si="8"/>
        <v>5.3399860394092391E-2</v>
      </c>
    </row>
    <row r="23" spans="2:15" x14ac:dyDescent="0.35">
      <c r="B23" s="92">
        <f t="shared" si="2"/>
        <v>17</v>
      </c>
      <c r="C23" s="93">
        <f t="shared" si="3"/>
        <v>48300</v>
      </c>
      <c r="D23" s="94">
        <f t="shared" si="9"/>
        <v>91904.981818181826</v>
      </c>
      <c r="E23" s="95">
        <f t="shared" si="4"/>
        <v>4.4882770487387758E-2</v>
      </c>
      <c r="G23" s="92">
        <f t="shared" si="5"/>
        <v>17</v>
      </c>
      <c r="H23" s="93">
        <f t="shared" si="0"/>
        <v>48300</v>
      </c>
      <c r="I23" s="94">
        <f t="shared" si="10"/>
        <v>23600.242424242424</v>
      </c>
      <c r="J23" s="95">
        <f t="shared" si="6"/>
        <v>5.0062156353565701E-2</v>
      </c>
      <c r="L23" s="92">
        <f t="shared" si="7"/>
        <v>17</v>
      </c>
      <c r="M23" s="93">
        <f t="shared" si="1"/>
        <v>48300</v>
      </c>
      <c r="N23" s="94">
        <f t="shared" si="11"/>
        <v>16749.763636363637</v>
      </c>
      <c r="O23" s="95">
        <f t="shared" si="8"/>
        <v>5.0692868303698679E-2</v>
      </c>
    </row>
    <row r="24" spans="2:15" x14ac:dyDescent="0.35">
      <c r="J24" s="91"/>
    </row>
  </sheetData>
  <mergeCells count="3">
    <mergeCell ref="G5:J5"/>
    <mergeCell ref="L5:O5"/>
    <mergeCell ref="B5:E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BCE0-AB11-48A3-9462-50B30E505004}">
  <sheetPr>
    <tabColor rgb="FF002060"/>
  </sheetPr>
  <dimension ref="B4:M46"/>
  <sheetViews>
    <sheetView showGridLines="0" tabSelected="1" workbookViewId="0">
      <selection activeCell="B25" sqref="B25:M25"/>
    </sheetView>
  </sheetViews>
  <sheetFormatPr defaultRowHeight="14.5" x14ac:dyDescent="0.35"/>
  <cols>
    <col min="1" max="1" width="1.81640625" customWidth="1"/>
    <col min="2" max="2" width="18.08984375" customWidth="1"/>
    <col min="4" max="13" width="9.54296875" bestFit="1" customWidth="1"/>
  </cols>
  <sheetData>
    <row r="4" spans="2:13" x14ac:dyDescent="0.35">
      <c r="B4" s="220" t="str">
        <f>"Common size income statement"&amp;" - "&amp;'Data Sheet'!B1</f>
        <v>Common size income statement - HINDUSTAN UNILEVER LTD</v>
      </c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</row>
    <row r="6" spans="2:13" x14ac:dyDescent="0.35">
      <c r="B6" s="118" t="s">
        <v>210</v>
      </c>
      <c r="C6" s="118"/>
      <c r="D6" s="119">
        <f>'Data Sheet'!B16</f>
        <v>42460</v>
      </c>
      <c r="E6" s="119">
        <f>'Data Sheet'!C16</f>
        <v>42825</v>
      </c>
      <c r="F6" s="119">
        <f>'Data Sheet'!D16</f>
        <v>43190</v>
      </c>
      <c r="G6" s="119">
        <f>'Data Sheet'!E16</f>
        <v>43555</v>
      </c>
      <c r="H6" s="119">
        <f>'Data Sheet'!F16</f>
        <v>43921</v>
      </c>
      <c r="I6" s="119">
        <f>'Data Sheet'!G16</f>
        <v>44286</v>
      </c>
      <c r="J6" s="119">
        <f>'Data Sheet'!H16</f>
        <v>44651</v>
      </c>
      <c r="K6" s="119">
        <f>'Data Sheet'!I16</f>
        <v>45016</v>
      </c>
      <c r="L6" s="119">
        <f>'Data Sheet'!J16</f>
        <v>45382</v>
      </c>
      <c r="M6" s="119">
        <f>'Data Sheet'!K16</f>
        <v>45747</v>
      </c>
    </row>
    <row r="8" spans="2:13" x14ac:dyDescent="0.35">
      <c r="B8" s="117" t="str">
        <f>'Data Sheet'!A17</f>
        <v>Sales</v>
      </c>
      <c r="D8" s="114">
        <f>'Data Sheet'!B17/'Data Sheet'!B$17</f>
        <v>1</v>
      </c>
      <c r="E8" s="114">
        <f>'Data Sheet'!C17/'Data Sheet'!C$17</f>
        <v>1</v>
      </c>
      <c r="F8" s="114">
        <f>'Data Sheet'!D17/'Data Sheet'!D$17</f>
        <v>1</v>
      </c>
      <c r="G8" s="114">
        <f>'Data Sheet'!E17/'Data Sheet'!E$17</f>
        <v>1</v>
      </c>
      <c r="H8" s="114">
        <f>'Data Sheet'!F17/'Data Sheet'!F$17</f>
        <v>1</v>
      </c>
      <c r="I8" s="114">
        <f>'Data Sheet'!G17/'Data Sheet'!G$17</f>
        <v>1</v>
      </c>
      <c r="J8" s="114">
        <f>'Data Sheet'!H17/'Data Sheet'!H$17</f>
        <v>1</v>
      </c>
      <c r="K8" s="114">
        <f>'Data Sheet'!I17/'Data Sheet'!I$17</f>
        <v>1</v>
      </c>
      <c r="L8" s="114">
        <f>'Data Sheet'!J17/'Data Sheet'!J$17</f>
        <v>1</v>
      </c>
      <c r="M8" s="114">
        <f>'Data Sheet'!K17/'Data Sheet'!K$17</f>
        <v>1</v>
      </c>
    </row>
    <row r="9" spans="2:13" x14ac:dyDescent="0.35">
      <c r="B9" s="96" t="str">
        <f>'Data Sheet'!A18</f>
        <v>Raw Material Cost</v>
      </c>
      <c r="D9" s="115">
        <f>'Data Sheet'!B18/'Data Sheet'!B$17</f>
        <v>0.40961908904492639</v>
      </c>
      <c r="E9" s="115">
        <f>'Data Sheet'!C18/'Data Sheet'!C$17</f>
        <v>0.41028888486822268</v>
      </c>
      <c r="F9" s="115">
        <f>'Data Sheet'!D18/'Data Sheet'!D$17</f>
        <v>0.40042200028133351</v>
      </c>
      <c r="G9" s="115">
        <f>'Data Sheet'!E18/'Data Sheet'!E$17</f>
        <v>0.40307809717629101</v>
      </c>
      <c r="H9" s="115">
        <f>'Data Sheet'!F18/'Data Sheet'!F$17</f>
        <v>0.39456551793479627</v>
      </c>
      <c r="I9" s="115">
        <f>'Data Sheet'!G18/'Data Sheet'!G$17</f>
        <v>0.42827677128519182</v>
      </c>
      <c r="J9" s="115">
        <f>'Data Sheet'!H18/'Data Sheet'!H$17</f>
        <v>0.43608664149792165</v>
      </c>
      <c r="K9" s="115">
        <f>'Data Sheet'!I18/'Data Sheet'!I$17</f>
        <v>0.46924727632882141</v>
      </c>
      <c r="L9" s="115">
        <f>'Data Sheet'!J18/'Data Sheet'!J$17</f>
        <v>0.43333979578648057</v>
      </c>
      <c r="M9" s="115">
        <f>'Data Sheet'!K18/'Data Sheet'!K$17</f>
        <v>0.48685857321652065</v>
      </c>
    </row>
    <row r="10" spans="2:13" x14ac:dyDescent="0.35">
      <c r="B10" s="96" t="str">
        <f>'Data Sheet'!A19</f>
        <v>Change in Inventory</v>
      </c>
      <c r="D10" s="115">
        <f>'Data Sheet'!B19/'Data Sheet'!B$17</f>
        <v>-2.5787609519666937E-3</v>
      </c>
      <c r="E10" s="115">
        <f>'Data Sheet'!C19/'Data Sheet'!C$17</f>
        <v>-4.3423195223448521E-3</v>
      </c>
      <c r="F10" s="115">
        <f>'Data Sheet'!D19/'Data Sheet'!D$17</f>
        <v>2.0256013504009003E-3</v>
      </c>
      <c r="G10" s="115">
        <f>'Data Sheet'!E19/'Data Sheet'!E$17</f>
        <v>-3.0526583566522515E-4</v>
      </c>
      <c r="H10" s="115">
        <f>'Data Sheet'!F19/'Data Sheet'!F$17</f>
        <v>2.7147273961239727E-3</v>
      </c>
      <c r="I10" s="115">
        <f>'Data Sheet'!G19/'Data Sheet'!G$17</f>
        <v>8.6118907884664454E-3</v>
      </c>
      <c r="J10" s="115">
        <f>'Data Sheet'!H19/'Data Sheet'!H$17</f>
        <v>4.1947908324753078E-4</v>
      </c>
      <c r="K10" s="115">
        <f>'Data Sheet'!I19/'Data Sheet'!I$17</f>
        <v>1.2380323539121821E-3</v>
      </c>
      <c r="L10" s="115">
        <f>'Data Sheet'!J19/'Data Sheet'!J$17</f>
        <v>1.7771746154840378E-4</v>
      </c>
      <c r="M10" s="115">
        <f>'Data Sheet'!K19/'Data Sheet'!K$17</f>
        <v>2.4239159709130084E-3</v>
      </c>
    </row>
    <row r="11" spans="2:13" x14ac:dyDescent="0.35">
      <c r="B11" s="96" t="str">
        <f>'Data Sheet'!A20</f>
        <v>Power and Fuel</v>
      </c>
      <c r="D11" s="115">
        <f>'Data Sheet'!B20/'Data Sheet'!B$17</f>
        <v>9.6004473994904613E-3</v>
      </c>
      <c r="E11" s="115">
        <f>'Data Sheet'!C20/'Data Sheet'!C$17</f>
        <v>8.8957240214703574E-3</v>
      </c>
      <c r="F11" s="115">
        <f>'Data Sheet'!D20/'Data Sheet'!D$17</f>
        <v>8.2993388662259103E-3</v>
      </c>
      <c r="G11" s="115">
        <f>'Data Sheet'!E20/'Data Sheet'!E$17</f>
        <v>7.8351564487407783E-3</v>
      </c>
      <c r="H11" s="115">
        <f>'Data Sheet'!F20/'Data Sheet'!F$17</f>
        <v>7.5157730688987755E-3</v>
      </c>
      <c r="I11" s="115">
        <f>'Data Sheet'!G20/'Data Sheet'!G$17</f>
        <v>7.2084715488645061E-3</v>
      </c>
      <c r="J11" s="115">
        <f>'Data Sheet'!H20/'Data Sheet'!H$17</f>
        <v>6.0633794760324902E-3</v>
      </c>
      <c r="K11" s="115">
        <f>'Data Sheet'!I20/'Data Sheet'!I$17</f>
        <v>6.3387256520303732E-3</v>
      </c>
      <c r="L11" s="115">
        <f>'Data Sheet'!J20/'Data Sheet'!J$17</f>
        <v>7.2056352591443711E-3</v>
      </c>
      <c r="M11" s="115">
        <f>'Data Sheet'!K20/'Data Sheet'!K$17</f>
        <v>0</v>
      </c>
    </row>
    <row r="12" spans="2:13" x14ac:dyDescent="0.35">
      <c r="B12" s="96" t="str">
        <f>'Data Sheet'!A21</f>
        <v>Other Mfr. Exp</v>
      </c>
      <c r="D12" s="115">
        <f>'Data Sheet'!B21/'Data Sheet'!B$17</f>
        <v>9.21518672714845E-2</v>
      </c>
      <c r="E12" s="115">
        <f>'Data Sheet'!C21/'Data Sheet'!C$17</f>
        <v>8.7057475423677699E-2</v>
      </c>
      <c r="F12" s="115">
        <f>'Data Sheet'!D21/'Data Sheet'!D$17</f>
        <v>8.4343789562526375E-2</v>
      </c>
      <c r="G12" s="115">
        <f>'Data Sheet'!E21/'Data Sheet'!E$17</f>
        <v>7.7359450521495801E-2</v>
      </c>
      <c r="H12" s="115">
        <f>'Data Sheet'!F21/'Data Sheet'!F$17</f>
        <v>7.3046276047558006E-2</v>
      </c>
      <c r="I12" s="115">
        <f>'Data Sheet'!G21/'Data Sheet'!G$17</f>
        <v>6.0984945139066091E-2</v>
      </c>
      <c r="J12" s="115">
        <f>'Data Sheet'!H21/'Data Sheet'!H$17</f>
        <v>6.3951492964191739E-2</v>
      </c>
      <c r="K12" s="115">
        <f>'Data Sheet'!I21/'Data Sheet'!I$17</f>
        <v>6.2578408715747769E-2</v>
      </c>
      <c r="L12" s="115">
        <f>'Data Sheet'!J21/'Data Sheet'!J$17</f>
        <v>5.4688509758304249E-2</v>
      </c>
      <c r="M12" s="115">
        <f>'Data Sheet'!K21/'Data Sheet'!K$17</f>
        <v>0</v>
      </c>
    </row>
    <row r="13" spans="2:13" x14ac:dyDescent="0.35">
      <c r="B13" s="96" t="str">
        <f>'Data Sheet'!A22</f>
        <v>Employee Cost</v>
      </c>
      <c r="D13" s="115">
        <f>'Data Sheet'!B22/'Data Sheet'!B$17</f>
        <v>5.2196607220530662E-2</v>
      </c>
      <c r="E13" s="115">
        <f>'Data Sheet'!C22/'Data Sheet'!C$17</f>
        <v>5.2560159218382488E-2</v>
      </c>
      <c r="F13" s="115">
        <f>'Data Sheet'!D22/'Data Sheet'!D$17</f>
        <v>5.2328034885356589E-2</v>
      </c>
      <c r="G13" s="115">
        <f>'Data Sheet'!E22/'Data Sheet'!E$17</f>
        <v>4.7697786822691428E-2</v>
      </c>
      <c r="H13" s="115">
        <f>'Data Sheet'!F22/'Data Sheet'!F$17</f>
        <v>4.574818389764472E-2</v>
      </c>
      <c r="I13" s="115">
        <f>'Data Sheet'!G22/'Data Sheet'!G$17</f>
        <v>5.0140341923960191E-2</v>
      </c>
      <c r="J13" s="115">
        <f>'Data Sheet'!H22/'Data Sheet'!H$17</f>
        <v>4.8526103039316627E-2</v>
      </c>
      <c r="K13" s="115">
        <f>'Data Sheet'!I22/'Data Sheet'!I$17</f>
        <v>4.7111257840871577E-2</v>
      </c>
      <c r="L13" s="115">
        <f>'Data Sheet'!J22/'Data Sheet'!J$17</f>
        <v>4.8613803799922452E-2</v>
      </c>
      <c r="M13" s="115">
        <f>'Data Sheet'!K22/'Data Sheet'!K$17</f>
        <v>4.8747643415028276E-2</v>
      </c>
    </row>
    <row r="14" spans="2:13" x14ac:dyDescent="0.35">
      <c r="B14" s="96" t="str">
        <f>'Data Sheet'!A23</f>
        <v>Selling and admin</v>
      </c>
      <c r="D14" s="115">
        <f>'Data Sheet'!B23/'Data Sheet'!B$17</f>
        <v>0.20943888647237929</v>
      </c>
      <c r="E14" s="115">
        <f>'Data Sheet'!C23/'Data Sheet'!C$17</f>
        <v>0.20170677281225499</v>
      </c>
      <c r="F14" s="115">
        <f>'Data Sheet'!D23/'Data Sheet'!D$17</f>
        <v>0.20402306934871289</v>
      </c>
      <c r="G14" s="115">
        <f>'Data Sheet'!E23/'Data Sheet'!E$17</f>
        <v>0.19832103790384126</v>
      </c>
      <c r="H14" s="115">
        <f>'Data Sheet'!F23/'Data Sheet'!F$17</f>
        <v>0.19153909961541363</v>
      </c>
      <c r="I14" s="115">
        <f>'Data Sheet'!G23/'Data Sheet'!G$17</f>
        <v>0.16811261376201411</v>
      </c>
      <c r="J14" s="115">
        <f>'Data Sheet'!H23/'Data Sheet'!H$17</f>
        <v>0.15566487434694734</v>
      </c>
      <c r="K14" s="115">
        <f>'Data Sheet'!I23/'Data Sheet'!I$17</f>
        <v>0.14501485638824696</v>
      </c>
      <c r="L14" s="115">
        <f>'Data Sheet'!J23/'Data Sheet'!J$17</f>
        <v>0.17405001938735945</v>
      </c>
      <c r="M14" s="115">
        <f>'Data Sheet'!K23/'Data Sheet'!K$17</f>
        <v>9.8208203292089791E-2</v>
      </c>
    </row>
    <row r="15" spans="2:13" x14ac:dyDescent="0.35">
      <c r="B15" s="96" t="str">
        <f>'Data Sheet'!A24</f>
        <v>Other Expenses</v>
      </c>
      <c r="D15" s="115">
        <f>'Data Sheet'!B24/'Data Sheet'!B$17</f>
        <v>4.0794134095569499E-2</v>
      </c>
      <c r="E15" s="115">
        <f>'Data Sheet'!C24/'Data Sheet'!C$17</f>
        <v>4.4327845123937039E-2</v>
      </c>
      <c r="F15" s="115">
        <f>'Data Sheet'!D24/'Data Sheet'!D$17</f>
        <v>4.1637361091574059E-2</v>
      </c>
      <c r="G15" s="115">
        <f>'Data Sheet'!E24/'Data Sheet'!E$17</f>
        <v>3.9506486899007889E-2</v>
      </c>
      <c r="H15" s="115">
        <f>'Data Sheet'!F24/'Data Sheet'!F$17</f>
        <v>4.2430183746826534E-2</v>
      </c>
      <c r="I15" s="115">
        <f>'Data Sheet'!G24/'Data Sheet'!G$17</f>
        <v>4.6674321680700862E-2</v>
      </c>
      <c r="J15" s="115">
        <f>'Data Sheet'!H24/'Data Sheet'!H$17</f>
        <v>4.4979598062769327E-2</v>
      </c>
      <c r="K15" s="115">
        <f>'Data Sheet'!I24/'Data Sheet'!I$17</f>
        <v>3.742159128425223E-2</v>
      </c>
      <c r="L15" s="115">
        <f>'Data Sheet'!J24/'Data Sheet'!J$17</f>
        <v>4.5447201757787256E-2</v>
      </c>
      <c r="M15" s="115">
        <f>'Data Sheet'!K24/'Data Sheet'!K$17</f>
        <v>0.13345796169262211</v>
      </c>
    </row>
    <row r="16" spans="2:13" x14ac:dyDescent="0.35">
      <c r="B16" s="96" t="str">
        <f>'Data Sheet'!A25</f>
        <v>Other Income</v>
      </c>
      <c r="D16" s="115">
        <f>'Data Sheet'!B25/'Data Sheet'!B$17</f>
        <v>1.5099732803082085E-2</v>
      </c>
      <c r="E16" s="115">
        <f>'Data Sheet'!C25/'Data Sheet'!C$17</f>
        <v>1.8273927989867923E-2</v>
      </c>
      <c r="F16" s="115">
        <f>'Data Sheet'!D25/'Data Sheet'!D$17</f>
        <v>9.9310732873821913E-3</v>
      </c>
      <c r="G16" s="115">
        <f>'Data Sheet'!E25/'Data Sheet'!E$17</f>
        <v>8.1912999236835402E-3</v>
      </c>
      <c r="H16" s="115">
        <f>'Data Sheet'!F25/'Data Sheet'!F$17</f>
        <v>1.0657818666264484E-2</v>
      </c>
      <c r="I16" s="115">
        <f>'Data Sheet'!G25/'Data Sheet'!G$17</f>
        <v>3.6148677383686313E-3</v>
      </c>
      <c r="J16" s="115">
        <f>'Data Sheet'!H25/'Data Sheet'!H$17</f>
        <v>4.1757236014186017E-3</v>
      </c>
      <c r="K16" s="115">
        <f>'Data Sheet'!I25/'Data Sheet'!I$17</f>
        <v>7.3951799273687686E-3</v>
      </c>
      <c r="L16" s="115">
        <f>'Data Sheet'!J25/'Data Sheet'!J$17</f>
        <v>1.3199560553185989E-2</v>
      </c>
      <c r="M16" s="115">
        <f>'Data Sheet'!K25/'Data Sheet'!K$17</f>
        <v>2.0943901395732007E-2</v>
      </c>
    </row>
    <row r="17" spans="2:13" x14ac:dyDescent="0.35">
      <c r="B17" s="96" t="str">
        <f>'Data Sheet'!A26</f>
        <v>Depreciation</v>
      </c>
      <c r="D17" s="115">
        <f>'Data Sheet'!B26/'Data Sheet'!B$17</f>
        <v>1.0967501398123409E-2</v>
      </c>
      <c r="E17" s="115">
        <f>'Data Sheet'!C26/'Data Sheet'!C$17</f>
        <v>1.3026958567034558E-2</v>
      </c>
      <c r="F17" s="115">
        <f>'Data Sheet'!D26/'Data Sheet'!D$17</f>
        <v>1.4629343086228723E-2</v>
      </c>
      <c r="G17" s="115">
        <f>'Data Sheet'!E26/'Data Sheet'!E$17</f>
        <v>1.437293309590435E-2</v>
      </c>
      <c r="H17" s="115">
        <f>'Data Sheet'!F26/'Data Sheet'!F$17</f>
        <v>2.5186637508483524E-2</v>
      </c>
      <c r="I17" s="115">
        <f>'Data Sheet'!G26/'Data Sheet'!G$17</f>
        <v>2.2837458535340648E-2</v>
      </c>
      <c r="J17" s="115">
        <f>'Data Sheet'!H26/'Data Sheet'!H$17</f>
        <v>2.0802349082866187E-2</v>
      </c>
      <c r="K17" s="115">
        <f>'Data Sheet'!I26/'Data Sheet'!I$17</f>
        <v>1.8768570485308684E-2</v>
      </c>
      <c r="L17" s="115">
        <f>'Data Sheet'!J26/'Data Sheet'!J$17</f>
        <v>1.9645857567532635E-2</v>
      </c>
      <c r="M17" s="115">
        <f>'Data Sheet'!K26/'Data Sheet'!K$17</f>
        <v>2.1466706801223048E-2</v>
      </c>
    </row>
    <row r="18" spans="2:13" x14ac:dyDescent="0.35">
      <c r="B18" s="96" t="str">
        <f>'Data Sheet'!A27</f>
        <v>Interest</v>
      </c>
      <c r="D18" s="115">
        <f>'Data Sheet'!B27/'Data Sheet'!B$17</f>
        <v>5.2817995401727462E-4</v>
      </c>
      <c r="E18" s="115">
        <f>'Data Sheet'!C27/'Data Sheet'!C$17</f>
        <v>1.0554248839032628E-3</v>
      </c>
      <c r="F18" s="115">
        <f>'Data Sheet'!D27/'Data Sheet'!D$17</f>
        <v>7.3146715431143621E-4</v>
      </c>
      <c r="G18" s="115">
        <f>'Data Sheet'!E27/'Data Sheet'!E$17</f>
        <v>8.3948104807936915E-4</v>
      </c>
      <c r="H18" s="115">
        <f>'Data Sheet'!F27/'Data Sheet'!F$17</f>
        <v>2.9660910439132291E-3</v>
      </c>
      <c r="I18" s="115">
        <f>'Data Sheet'!G27/'Data Sheet'!G$17</f>
        <v>2.4878795611125285E-3</v>
      </c>
      <c r="J18" s="115">
        <f>'Data Sheet'!H27/'Data Sheet'!H$17</f>
        <v>2.0211264920108303E-3</v>
      </c>
      <c r="K18" s="115">
        <f>'Data Sheet'!I27/'Data Sheet'!I$17</f>
        <v>1.881809177946517E-3</v>
      </c>
      <c r="L18" s="115">
        <f>'Data Sheet'!J27/'Data Sheet'!J$17</f>
        <v>5.3961483779242604E-3</v>
      </c>
      <c r="M18" s="115">
        <f>'Data Sheet'!K27/'Data Sheet'!K$17</f>
        <v>6.2578222778473091E-3</v>
      </c>
    </row>
    <row r="19" spans="2:13" x14ac:dyDescent="0.35">
      <c r="B19" s="96" t="str">
        <f>'Data Sheet'!A28</f>
        <v>Profit before tax</v>
      </c>
      <c r="D19" s="115">
        <f>'Data Sheet'!B28/'Data Sheet'!B$17</f>
        <v>0.18722425899459391</v>
      </c>
      <c r="E19" s="115">
        <f>'Data Sheet'!C28/'Data Sheet'!C$17</f>
        <v>0.19501236354864002</v>
      </c>
      <c r="F19" s="115">
        <f>'Data Sheet'!D28/'Data Sheet'!D$17</f>
        <v>0.20554227036151357</v>
      </c>
      <c r="G19" s="115">
        <f>'Data Sheet'!E28/'Data Sheet'!E$17</f>
        <v>0.21887560417196641</v>
      </c>
      <c r="H19" s="115">
        <f>'Data Sheet'!F28/'Data Sheet'!F$17</f>
        <v>0.23037478319885379</v>
      </c>
      <c r="I19" s="115">
        <f>'Data Sheet'!G28/'Data Sheet'!G$17</f>
        <v>0.22550395509058432</v>
      </c>
      <c r="J19" s="115">
        <f>'Data Sheet'!H28/'Data Sheet'!H$17</f>
        <v>0.22649963772260992</v>
      </c>
      <c r="K19" s="115">
        <f>'Data Sheet'!I28/'Data Sheet'!I$17</f>
        <v>0.22027071640805546</v>
      </c>
      <c r="L19" s="115">
        <f>'Data Sheet'!J28/'Data Sheet'!J$17</f>
        <v>0.22499030632027917</v>
      </c>
      <c r="M19" s="115">
        <f>'Data Sheet'!K28/'Data Sheet'!K$17</f>
        <v>0.22837090667131382</v>
      </c>
    </row>
    <row r="20" spans="2:13" x14ac:dyDescent="0.35">
      <c r="B20" s="96" t="str">
        <f>'Data Sheet'!A29</f>
        <v>Tax</v>
      </c>
      <c r="D20" s="115">
        <f>'Data Sheet'!B29/'Data Sheet'!B$17</f>
        <v>5.8255141987199402E-2</v>
      </c>
      <c r="E20" s="115">
        <f>'Data Sheet'!C29/'Data Sheet'!C$17</f>
        <v>5.9616428442192872E-2</v>
      </c>
      <c r="F20" s="115">
        <f>'Data Sheet'!D29/'Data Sheet'!D$17</f>
        <v>5.8489238992825994E-2</v>
      </c>
      <c r="G20" s="115">
        <f>'Data Sheet'!E29/'Data Sheet'!E$17</f>
        <v>6.4716357161027735E-2</v>
      </c>
      <c r="H20" s="115">
        <f>'Data Sheet'!F29/'Data Sheet'!F$17</f>
        <v>6.0553502752431945E-2</v>
      </c>
      <c r="I20" s="115">
        <f>'Data Sheet'!G29/'Data Sheet'!G$17</f>
        <v>5.5413796036403846E-2</v>
      </c>
      <c r="J20" s="115">
        <f>'Data Sheet'!H29/'Data Sheet'!H$17</f>
        <v>5.6953819166380655E-2</v>
      </c>
      <c r="K20" s="115">
        <f>'Data Sheet'!I29/'Data Sheet'!I$17</f>
        <v>5.2839220864971941E-2</v>
      </c>
      <c r="L20" s="115">
        <f>'Data Sheet'!J29/'Data Sheet'!J$17</f>
        <v>5.8872948171125761E-2</v>
      </c>
      <c r="M20" s="115">
        <f>'Data Sheet'!K29/'Data Sheet'!K$17</f>
        <v>5.9314649641165382E-2</v>
      </c>
    </row>
    <row r="21" spans="2:13" x14ac:dyDescent="0.35">
      <c r="B21" s="96" t="str">
        <f>'Data Sheet'!A30</f>
        <v>Net profit</v>
      </c>
      <c r="D21" s="115">
        <f>'Data Sheet'!B30/'Data Sheet'!B$17</f>
        <v>0.12896911700739452</v>
      </c>
      <c r="E21" s="115">
        <f>'Data Sheet'!C30/'Data Sheet'!C$17</f>
        <v>0.13497376515288584</v>
      </c>
      <c r="F21" s="115">
        <f>'Data Sheet'!D30/'Data Sheet'!D$17</f>
        <v>0.14668729779153186</v>
      </c>
      <c r="G21" s="115">
        <f>'Data Sheet'!E30/'Data Sheet'!E$17</f>
        <v>0.15400661409310609</v>
      </c>
      <c r="H21" s="115">
        <f>'Data Sheet'!F30/'Data Sheet'!F$17</f>
        <v>0.16962018952819044</v>
      </c>
      <c r="I21" s="115">
        <f>'Data Sheet'!G30/'Data Sheet'!G$17</f>
        <v>0.17000510334268945</v>
      </c>
      <c r="J21" s="115">
        <f>'Data Sheet'!H30/'Data Sheet'!H$17</f>
        <v>0.16929794455249209</v>
      </c>
      <c r="K21" s="115">
        <f>'Data Sheet'!I30/'Data Sheet'!I$17</f>
        <v>0.16705183228788378</v>
      </c>
      <c r="L21" s="115">
        <f>'Data Sheet'!J30/'Data Sheet'!J$17</f>
        <v>0.16603657748481324</v>
      </c>
      <c r="M21" s="115">
        <f>'Data Sheet'!K30/'Data Sheet'!K$17</f>
        <v>0.16870772009315441</v>
      </c>
    </row>
    <row r="22" spans="2:13" x14ac:dyDescent="0.35">
      <c r="B22" s="96" t="str">
        <f>'Data Sheet'!A31</f>
        <v>Dividend Amount</v>
      </c>
      <c r="D22" s="115">
        <f>'Data Sheet'!B31/'Data Sheet'!B$17</f>
        <v>0.10737587771080594</v>
      </c>
      <c r="E22" s="115">
        <f>'Data Sheet'!C31/'Data Sheet'!C$17</f>
        <v>0.11072914781979373</v>
      </c>
      <c r="F22" s="115">
        <f>'Data Sheet'!D31/'Data Sheet'!D$17</f>
        <v>0.12153608102405401</v>
      </c>
      <c r="G22" s="115">
        <f>'Data Sheet'!E31/'Data Sheet'!E$17</f>
        <v>0.12088527092342916</v>
      </c>
      <c r="H22" s="115">
        <f>'Data Sheet'!F31/'Data Sheet'!F$17</f>
        <v>0.13573636980619863</v>
      </c>
      <c r="I22" s="115">
        <f>'Data Sheet'!G31/'Data Sheet'!G$17</f>
        <v>0.20237943352896148</v>
      </c>
      <c r="J22" s="115">
        <f>'Data Sheet'!H31/'Data Sheet'!H$17</f>
        <v>0.15234717614308049</v>
      </c>
      <c r="K22" s="115">
        <f>'Data Sheet'!I31/'Data Sheet'!I$17</f>
        <v>0.15128755364806867</v>
      </c>
      <c r="L22" s="115">
        <f>'Data Sheet'!J31/'Data Sheet'!J$17</f>
        <v>0.1594610314075223</v>
      </c>
      <c r="M22" s="115">
        <f>'Data Sheet'!K31/'Data Sheet'!K$17</f>
        <v>0.19731943410275501</v>
      </c>
    </row>
    <row r="23" spans="2:13" x14ac:dyDescent="0.35">
      <c r="B23" s="96"/>
    </row>
    <row r="25" spans="2:13" x14ac:dyDescent="0.35">
      <c r="B25" s="220" t="str">
        <f>"Balance sheet"&amp;" - "&amp;'Data Sheet'!B1</f>
        <v>Balance sheet - HINDUSTAN UNILEVER LTD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</row>
    <row r="27" spans="2:13" x14ac:dyDescent="0.35">
      <c r="B27" s="118" t="s">
        <v>210</v>
      </c>
      <c r="C27" s="118"/>
      <c r="D27" s="119">
        <f>'Data Sheet'!B56</f>
        <v>42460</v>
      </c>
      <c r="E27" s="119">
        <f>'Data Sheet'!C56</f>
        <v>42825</v>
      </c>
      <c r="F27" s="119">
        <f>'Data Sheet'!D56</f>
        <v>43190</v>
      </c>
      <c r="G27" s="119">
        <f>'Data Sheet'!E56</f>
        <v>43555</v>
      </c>
      <c r="H27" s="119">
        <f>'Data Sheet'!F56</f>
        <v>43921</v>
      </c>
      <c r="I27" s="119">
        <f>'Data Sheet'!G56</f>
        <v>44286</v>
      </c>
      <c r="J27" s="119">
        <f>'Data Sheet'!H56</f>
        <v>44651</v>
      </c>
      <c r="K27" s="119">
        <f>'Data Sheet'!I56</f>
        <v>45016</v>
      </c>
      <c r="L27" s="119">
        <f>'Data Sheet'!J56</f>
        <v>45382</v>
      </c>
      <c r="M27" s="119">
        <f>'Data Sheet'!K56</f>
        <v>45747</v>
      </c>
    </row>
    <row r="28" spans="2:13" x14ac:dyDescent="0.35">
      <c r="D28" s="116"/>
      <c r="E28" s="116"/>
      <c r="F28" s="116"/>
      <c r="G28" s="116"/>
      <c r="H28" s="116"/>
      <c r="I28" s="116"/>
      <c r="J28" s="116"/>
      <c r="K28" s="116"/>
      <c r="L28" s="116"/>
      <c r="M28" s="116"/>
    </row>
    <row r="29" spans="2:13" x14ac:dyDescent="0.35">
      <c r="B29" s="2" t="s">
        <v>211</v>
      </c>
      <c r="D29" s="114">
        <f>'Data Sheet'!B61/'Data Sheet'!B$61</f>
        <v>1</v>
      </c>
      <c r="E29" s="114">
        <f>'Data Sheet'!C61/'Data Sheet'!C$61</f>
        <v>1</v>
      </c>
      <c r="F29" s="114">
        <f>'Data Sheet'!D61/'Data Sheet'!D$61</f>
        <v>1</v>
      </c>
      <c r="G29" s="114">
        <f>'Data Sheet'!E61/'Data Sheet'!E$61</f>
        <v>1</v>
      </c>
      <c r="H29" s="114">
        <f>'Data Sheet'!F61/'Data Sheet'!F$61</f>
        <v>1</v>
      </c>
      <c r="I29" s="114">
        <f>'Data Sheet'!G61/'Data Sheet'!G$61</f>
        <v>1</v>
      </c>
      <c r="J29" s="114">
        <f>'Data Sheet'!H61/'Data Sheet'!H$61</f>
        <v>1</v>
      </c>
      <c r="K29" s="114">
        <f>'Data Sheet'!I61/'Data Sheet'!I$61</f>
        <v>1</v>
      </c>
      <c r="L29" s="114">
        <f>'Data Sheet'!J61/'Data Sheet'!J$61</f>
        <v>1</v>
      </c>
      <c r="M29" s="114">
        <f>'Data Sheet'!K61/'Data Sheet'!K$61</f>
        <v>1</v>
      </c>
    </row>
    <row r="30" spans="2:13" x14ac:dyDescent="0.35">
      <c r="B30" s="96" t="str">
        <f>'Data Sheet'!A57</f>
        <v>Equity Share Capital</v>
      </c>
      <c r="D30" s="91">
        <f>'Data Sheet'!B57/'Data Sheet'!B$61</f>
        <v>1.4601500709795174E-2</v>
      </c>
      <c r="E30" s="91">
        <f>'Data Sheet'!C57/'Data Sheet'!C$61</f>
        <v>1.3752705972239909E-2</v>
      </c>
      <c r="F30" s="91">
        <f>'Data Sheet'!D57/'Data Sheet'!D$61</f>
        <v>1.2092710782667115E-2</v>
      </c>
      <c r="G30" s="91">
        <f>'Data Sheet'!E57/'Data Sheet'!E$61</f>
        <v>1.1594825272424714E-2</v>
      </c>
      <c r="H30" s="91">
        <f>'Data Sheet'!F57/'Data Sheet'!F$61</f>
        <v>1.0718007244578972E-2</v>
      </c>
      <c r="I30" s="91">
        <f>'Data Sheet'!G57/'Data Sheet'!G$61</f>
        <v>3.4186790805935409E-3</v>
      </c>
      <c r="J30" s="91">
        <f>'Data Sheet'!H57/'Data Sheet'!H$61</f>
        <v>3.3330496695316712E-3</v>
      </c>
      <c r="K30" s="91">
        <f>'Data Sheet'!I57/'Data Sheet'!I$61</f>
        <v>3.2157860886462223E-3</v>
      </c>
      <c r="L30" s="91">
        <f>'Data Sheet'!J57/'Data Sheet'!J$61</f>
        <v>2.9940501216731007E-3</v>
      </c>
      <c r="M30" s="91">
        <f>'Data Sheet'!K57/'Data Sheet'!K$61</f>
        <v>2.9419128693039557E-3</v>
      </c>
    </row>
    <row r="31" spans="2:13" x14ac:dyDescent="0.35">
      <c r="B31" s="96" t="str">
        <f>'Data Sheet'!A58</f>
        <v>Reserves</v>
      </c>
      <c r="D31" s="91">
        <f>'Data Sheet'!B58/'Data Sheet'!B$61</f>
        <v>0.42973027783411072</v>
      </c>
      <c r="E31" s="91">
        <f>'Data Sheet'!C58/'Data Sheet'!C$61</f>
        <v>0.41563733604991721</v>
      </c>
      <c r="F31" s="91">
        <f>'Data Sheet'!D58/'Data Sheet'!D$61</f>
        <v>0.3955324151830702</v>
      </c>
      <c r="G31" s="91">
        <f>'Data Sheet'!E58/'Data Sheet'!E$61</f>
        <v>0.41070374147834021</v>
      </c>
      <c r="H31" s="91">
        <f>'Data Sheet'!F58/'Data Sheet'!F$61</f>
        <v>0.39760829653153379</v>
      </c>
      <c r="I31" s="91">
        <f>'Data Sheet'!G58/'Data Sheet'!G$61</f>
        <v>0.69012219959266807</v>
      </c>
      <c r="J31" s="91">
        <f>'Data Sheet'!H58/'Data Sheet'!H$61</f>
        <v>0.69250843899809944</v>
      </c>
      <c r="K31" s="91">
        <f>'Data Sheet'!I58/'Data Sheet'!I$61</f>
        <v>0.68515401562735201</v>
      </c>
      <c r="L31" s="91">
        <f>'Data Sheet'!J58/'Data Sheet'!J$61</f>
        <v>0.64955598873727527</v>
      </c>
      <c r="M31" s="91">
        <f>'Data Sheet'!K58/'Data Sheet'!K$61</f>
        <v>0.61551076614922384</v>
      </c>
    </row>
    <row r="32" spans="2:13" x14ac:dyDescent="0.35">
      <c r="B32" s="96" t="str">
        <f>'Data Sheet'!A59</f>
        <v>Borrowings</v>
      </c>
      <c r="D32" s="91">
        <f>'Data Sheet'!B59/'Data Sheet'!B$61</f>
        <v>1.1965118637193267E-2</v>
      </c>
      <c r="E32" s="91">
        <f>'Data Sheet'!C59/'Data Sheet'!C$61</f>
        <v>1.7636572010696547E-2</v>
      </c>
      <c r="F32" s="91">
        <f>'Data Sheet'!D59/'Data Sheet'!D$61</f>
        <v>0</v>
      </c>
      <c r="G32" s="91">
        <f>'Data Sheet'!E59/'Data Sheet'!E$61</f>
        <v>5.3142949165279939E-3</v>
      </c>
      <c r="H32" s="91">
        <f>'Data Sheet'!F59/'Data Sheet'!F$61</f>
        <v>0</v>
      </c>
      <c r="I32" s="91">
        <f>'Data Sheet'!G59/'Data Sheet'!G$61</f>
        <v>0</v>
      </c>
      <c r="J32" s="91">
        <f>'Data Sheet'!H59/'Data Sheet'!H$61</f>
        <v>1.4793067256687375E-2</v>
      </c>
      <c r="K32" s="91">
        <f>'Data Sheet'!I59/'Data Sheet'!I$61</f>
        <v>1.668103507259466E-2</v>
      </c>
      <c r="L32" s="91">
        <f>'Data Sheet'!J59/'Data Sheet'!J$61</f>
        <v>1.8907108002395239E-2</v>
      </c>
      <c r="M32" s="91">
        <f>'Data Sheet'!K59/'Data Sheet'!K$61</f>
        <v>2.0630946419629443E-2</v>
      </c>
    </row>
    <row r="33" spans="2:13" x14ac:dyDescent="0.35">
      <c r="B33" s="96" t="str">
        <f>'Data Sheet'!A60</f>
        <v>Other Liabilities</v>
      </c>
      <c r="D33" s="91">
        <f>'Data Sheet'!B60/'Data Sheet'!B$61</f>
        <v>0.54370310281890089</v>
      </c>
      <c r="E33" s="91">
        <f>'Data Sheet'!C60/'Data Sheet'!C$61</f>
        <v>0.55297338596714629</v>
      </c>
      <c r="F33" s="91">
        <f>'Data Sheet'!D60/'Data Sheet'!D$61</f>
        <v>0.5923748740342627</v>
      </c>
      <c r="G33" s="91">
        <f>'Data Sheet'!E60/'Data Sheet'!E$61</f>
        <v>0.57238713833270705</v>
      </c>
      <c r="H33" s="91">
        <f>'Data Sheet'!F60/'Data Sheet'!F$61</f>
        <v>0.59167369622388721</v>
      </c>
      <c r="I33" s="91">
        <f>'Data Sheet'!G60/'Data Sheet'!G$61</f>
        <v>0.30645912132673842</v>
      </c>
      <c r="J33" s="91">
        <f>'Data Sheet'!H60/'Data Sheet'!H$61</f>
        <v>0.28936544407568149</v>
      </c>
      <c r="K33" s="91">
        <f>'Data Sheet'!I60/'Data Sheet'!I$61</f>
        <v>0.29494916321140713</v>
      </c>
      <c r="L33" s="91">
        <f>'Data Sheet'!J60/'Data Sheet'!J$61</f>
        <v>0.32854285313865639</v>
      </c>
      <c r="M33" s="91">
        <f>'Data Sheet'!K60/'Data Sheet'!K$61</f>
        <v>0.36091637456184278</v>
      </c>
    </row>
    <row r="34" spans="2:13" x14ac:dyDescent="0.35">
      <c r="B34" s="96"/>
    </row>
    <row r="35" spans="2:13" x14ac:dyDescent="0.35">
      <c r="B35" s="117" t="s">
        <v>212</v>
      </c>
      <c r="D35" s="114">
        <f>'Data Sheet'!B66/'Data Sheet'!B$66</f>
        <v>1</v>
      </c>
      <c r="E35" s="114">
        <f>'Data Sheet'!C66/'Data Sheet'!C$66</f>
        <v>1</v>
      </c>
      <c r="F35" s="114">
        <f>'Data Sheet'!D66/'Data Sheet'!D$66</f>
        <v>1</v>
      </c>
      <c r="G35" s="114">
        <f>'Data Sheet'!E66/'Data Sheet'!E$66</f>
        <v>1</v>
      </c>
      <c r="H35" s="114">
        <f>'Data Sheet'!F66/'Data Sheet'!F$66</f>
        <v>1</v>
      </c>
      <c r="I35" s="114">
        <f>'Data Sheet'!G66/'Data Sheet'!G$66</f>
        <v>1</v>
      </c>
      <c r="J35" s="114">
        <f>'Data Sheet'!H66/'Data Sheet'!H$66</f>
        <v>1</v>
      </c>
      <c r="K35" s="114">
        <f>'Data Sheet'!I66/'Data Sheet'!I$66</f>
        <v>1</v>
      </c>
      <c r="L35" s="114">
        <f>'Data Sheet'!J66/'Data Sheet'!J$66</f>
        <v>1</v>
      </c>
      <c r="M35" s="114">
        <f>'Data Sheet'!K66/'Data Sheet'!K$66</f>
        <v>1</v>
      </c>
    </row>
    <row r="36" spans="2:13" x14ac:dyDescent="0.35">
      <c r="B36" s="96" t="str">
        <f>'Data Sheet'!A62</f>
        <v>Net Block</v>
      </c>
      <c r="D36" s="91">
        <f>'Data Sheet'!B62/'Data Sheet'!B$66</f>
        <v>0.22023930237274386</v>
      </c>
      <c r="E36" s="91">
        <f>'Data Sheet'!C62/'Data Sheet'!C$66</f>
        <v>0.2813574430154081</v>
      </c>
      <c r="F36" s="91">
        <f>'Data Sheet'!D62/'Data Sheet'!D$66</f>
        <v>0.25349904825887359</v>
      </c>
      <c r="G36" s="91">
        <f>'Data Sheet'!E62/'Data Sheet'!E$66</f>
        <v>0.25310000536797467</v>
      </c>
      <c r="H36" s="91">
        <f>'Data Sheet'!F62/'Data Sheet'!F$66</f>
        <v>0.27187019302337123</v>
      </c>
      <c r="I36" s="91">
        <f>'Data Sheet'!G62/'Data Sheet'!G$66</f>
        <v>0.74837067209775965</v>
      </c>
      <c r="J36" s="91">
        <f>'Data Sheet'!H62/'Data Sheet'!H$66</f>
        <v>0.73005134314810083</v>
      </c>
      <c r="K36" s="91">
        <f>'Data Sheet'!I62/'Data Sheet'!I$66</f>
        <v>0.720856083309386</v>
      </c>
      <c r="L36" s="91">
        <f>'Data Sheet'!J62/'Data Sheet'!J$66</f>
        <v>0.68473289250723035</v>
      </c>
      <c r="M36" s="91">
        <f>'Data Sheet'!K62/'Data Sheet'!K$66</f>
        <v>0.68020781171757638</v>
      </c>
    </row>
    <row r="37" spans="2:13" x14ac:dyDescent="0.35">
      <c r="B37" s="96" t="str">
        <f>'Data Sheet'!A63</f>
        <v>Capital Work in Progress</v>
      </c>
      <c r="D37" s="91">
        <f>'Data Sheet'!B63/'Data Sheet'!B$66</f>
        <v>2.7580612451835327E-2</v>
      </c>
      <c r="E37" s="91">
        <f>'Data Sheet'!C63/'Data Sheet'!C$66</f>
        <v>1.458041512797657E-2</v>
      </c>
      <c r="F37" s="91">
        <f>'Data Sheet'!D63/'Data Sheet'!D$66</f>
        <v>2.5808979957451572E-2</v>
      </c>
      <c r="G37" s="91">
        <f>'Data Sheet'!E63/'Data Sheet'!E$66</f>
        <v>2.1793977132427936E-2</v>
      </c>
      <c r="H37" s="91">
        <f>'Data Sheet'!F63/'Data Sheet'!F$66</f>
        <v>2.9623381134322432E-2</v>
      </c>
      <c r="I37" s="91">
        <f>'Data Sheet'!G63/'Data Sheet'!G$66</f>
        <v>1.0837940064009311E-2</v>
      </c>
      <c r="J37" s="91">
        <f>'Data Sheet'!H63/'Data Sheet'!H$66</f>
        <v>1.8622528579128019E-2</v>
      </c>
      <c r="K37" s="91">
        <f>'Data Sheet'!I63/'Data Sheet'!I$66</f>
        <v>1.5490510009989463E-2</v>
      </c>
      <c r="L37" s="91">
        <f>'Data Sheet'!J63/'Data Sheet'!J$66</f>
        <v>1.305915478602097E-2</v>
      </c>
      <c r="M37" s="91">
        <f>'Data Sheet'!K63/'Data Sheet'!K$66</f>
        <v>1.2631447170756134E-2</v>
      </c>
    </row>
    <row r="38" spans="2:13" x14ac:dyDescent="0.35">
      <c r="B38" s="96" t="str">
        <f>'Data Sheet'!A64</f>
        <v>Investments</v>
      </c>
      <c r="D38" s="91">
        <f>'Data Sheet'!B64/'Data Sheet'!B$66</f>
        <v>0.17521800851754207</v>
      </c>
      <c r="E38" s="91">
        <f>'Data Sheet'!C64/'Data Sheet'!C$66</f>
        <v>0.24156373360499173</v>
      </c>
      <c r="F38" s="91">
        <f>'Data Sheet'!D64/'Data Sheet'!D$66</f>
        <v>0.16084425036390101</v>
      </c>
      <c r="G38" s="91">
        <f>'Data Sheet'!E64/'Data Sheet'!E$66</f>
        <v>0.14579419185141446</v>
      </c>
      <c r="H38" s="91">
        <f>'Data Sheet'!F64/'Data Sheet'!F$66</f>
        <v>6.2273606907160224E-2</v>
      </c>
      <c r="I38" s="91">
        <f>'Data Sheet'!G64/'Data Sheet'!G$66</f>
        <v>3.9409368635437883E-2</v>
      </c>
      <c r="J38" s="91">
        <f>'Data Sheet'!H64/'Data Sheet'!H$66</f>
        <v>4.9939012282642609E-2</v>
      </c>
      <c r="K38" s="91">
        <f>'Data Sheet'!I64/'Data Sheet'!I$66</f>
        <v>3.9437853223312398E-2</v>
      </c>
      <c r="L38" s="91">
        <f>'Data Sheet'!J64/'Data Sheet'!J$66</f>
        <v>5.8925454522289748E-2</v>
      </c>
      <c r="M38" s="91">
        <f>'Data Sheet'!K64/'Data Sheet'!K$66</f>
        <v>4.7696544817225836E-2</v>
      </c>
    </row>
    <row r="39" spans="2:13" x14ac:dyDescent="0.35">
      <c r="B39" s="96" t="str">
        <f>'Data Sheet'!A65</f>
        <v>Other Assets</v>
      </c>
      <c r="D39" s="91">
        <f>'Data Sheet'!B65/'Data Sheet'!B$66</f>
        <v>0.57696207665787869</v>
      </c>
      <c r="E39" s="91">
        <f>'Data Sheet'!C65/'Data Sheet'!C$66</f>
        <v>0.46249840825162358</v>
      </c>
      <c r="F39" s="91">
        <f>'Data Sheet'!D65/'Data Sheet'!D$66</f>
        <v>0.55984772141977379</v>
      </c>
      <c r="G39" s="91">
        <f>'Data Sheet'!E65/'Data Sheet'!E$66</f>
        <v>0.57931182564818295</v>
      </c>
      <c r="H39" s="91">
        <f>'Data Sheet'!F65/'Data Sheet'!F$66</f>
        <v>0.63623281893514616</v>
      </c>
      <c r="I39" s="91">
        <f>'Data Sheet'!G65/'Data Sheet'!G$66</f>
        <v>0.20138201920279314</v>
      </c>
      <c r="J39" s="91">
        <f>'Data Sheet'!H65/'Data Sheet'!H$66</f>
        <v>0.20138711599012851</v>
      </c>
      <c r="K39" s="91">
        <f>'Data Sheet'!I65/'Data Sheet'!I$66</f>
        <v>0.22421555345731214</v>
      </c>
      <c r="L39" s="91">
        <f>'Data Sheet'!J65/'Data Sheet'!J$66</f>
        <v>0.24328249818445896</v>
      </c>
      <c r="M39" s="91">
        <f>'Data Sheet'!K65/'Data Sheet'!K$66</f>
        <v>0.25946419629444167</v>
      </c>
    </row>
    <row r="40" spans="2:13" x14ac:dyDescent="0.35">
      <c r="B40" s="96" t="str">
        <f>'Data Sheet'!A67</f>
        <v>Receivables</v>
      </c>
      <c r="D40" s="91">
        <f>'Data Sheet'!B67/'Data Sheet'!B$66</f>
        <v>8.5445818968431009E-2</v>
      </c>
      <c r="E40" s="91">
        <f>'Data Sheet'!C67/'Data Sheet'!C$66</f>
        <v>6.9081879536482871E-2</v>
      </c>
      <c r="F40" s="91">
        <f>'Data Sheet'!D67/'Data Sheet'!D$66</f>
        <v>7.3340051505990364E-2</v>
      </c>
      <c r="G40" s="91">
        <f>'Data Sheet'!E67/'Data Sheet'!E$66</f>
        <v>9.748241988297815E-2</v>
      </c>
      <c r="H40" s="91">
        <f>'Data Sheet'!F67/'Data Sheet'!F$66</f>
        <v>5.7013844092690912E-2</v>
      </c>
      <c r="I40" s="91">
        <f>'Data Sheet'!G67/'Data Sheet'!G$66</f>
        <v>2.5574629036950829E-2</v>
      </c>
      <c r="J40" s="91">
        <f>'Data Sheet'!H67/'Data Sheet'!H$66</f>
        <v>3.1713613025841775E-2</v>
      </c>
      <c r="K40" s="91">
        <f>'Data Sheet'!I67/'Data Sheet'!I$66</f>
        <v>4.2133639859326465E-2</v>
      </c>
      <c r="L40" s="91">
        <f>'Data Sheet'!J67/'Data Sheet'!J$66</f>
        <v>3.8183694530443756E-2</v>
      </c>
      <c r="M40" s="91">
        <f>'Data Sheet'!K67/'Data Sheet'!K$66</f>
        <v>4.7809213820731097E-2</v>
      </c>
    </row>
    <row r="41" spans="2:13" x14ac:dyDescent="0.35">
      <c r="B41" s="96" t="str">
        <f>'Data Sheet'!A68</f>
        <v>Inventory</v>
      </c>
      <c r="D41" s="91">
        <f>'Data Sheet'!B68/'Data Sheet'!B$66</f>
        <v>0.18427634692084094</v>
      </c>
      <c r="E41" s="91">
        <f>'Data Sheet'!C68/'Data Sheet'!C$66</f>
        <v>0.16178530497898891</v>
      </c>
      <c r="F41" s="91">
        <f>'Data Sheet'!D68/'Data Sheet'!D$66</f>
        <v>0.14068973239278917</v>
      </c>
      <c r="G41" s="91">
        <f>'Data Sheet'!E68/'Data Sheet'!E$66</f>
        <v>0.13817166782972784</v>
      </c>
      <c r="H41" s="91">
        <f>'Data Sheet'!F68/'Data Sheet'!F$66</f>
        <v>0.13729965761921303</v>
      </c>
      <c r="I41" s="91">
        <f>'Data Sheet'!G68/'Data Sheet'!G$66</f>
        <v>5.2065755018911843E-2</v>
      </c>
      <c r="J41" s="91">
        <f>'Data Sheet'!H68/'Data Sheet'!H$66</f>
        <v>5.8094346580432873E-2</v>
      </c>
      <c r="K41" s="91">
        <f>'Data Sheet'!I68/'Data Sheet'!I$66</f>
        <v>5.8171517714191878E-2</v>
      </c>
      <c r="L41" s="91">
        <f>'Data Sheet'!J68/'Data Sheet'!J$66</f>
        <v>5.1242849316464729E-2</v>
      </c>
      <c r="M41" s="91">
        <f>'Data Sheet'!K68/'Data Sheet'!K$66</f>
        <v>5.5270405608412621E-2</v>
      </c>
    </row>
    <row r="42" spans="2:13" x14ac:dyDescent="0.35">
      <c r="B42" s="96" t="str">
        <f>'Data Sheet'!A69</f>
        <v>Cash &amp; Bank</v>
      </c>
      <c r="D42" s="91">
        <f>'Data Sheet'!B69/'Data Sheet'!B$66</f>
        <v>0.20340701683228554</v>
      </c>
      <c r="E42" s="91">
        <f>'Data Sheet'!C69/'Data Sheet'!C$66</f>
        <v>0.11638864128358589</v>
      </c>
      <c r="F42" s="91">
        <f>'Data Sheet'!D69/'Data Sheet'!D$66</f>
        <v>0.19510693091479117</v>
      </c>
      <c r="G42" s="91">
        <f>'Data Sheet'!E69/'Data Sheet'!E$66</f>
        <v>0.20167480809490579</v>
      </c>
      <c r="H42" s="91">
        <f>'Data Sheet'!F69/'Data Sheet'!F$66</f>
        <v>0.25370912519227906</v>
      </c>
      <c r="I42" s="91">
        <f>'Data Sheet'!G69/'Data Sheet'!G$66</f>
        <v>6.5042187954611586E-2</v>
      </c>
      <c r="J42" s="91">
        <f>'Data Sheet'!H69/'Data Sheet'!H$66</f>
        <v>5.4548549059654498E-2</v>
      </c>
      <c r="K42" s="91">
        <f>'Data Sheet'!I69/'Data Sheet'!I$66</f>
        <v>6.4014669458242676E-2</v>
      </c>
      <c r="L42" s="91">
        <f>'Data Sheet'!J69/'Data Sheet'!J$66</f>
        <v>9.6306488807348795E-2</v>
      </c>
      <c r="M42" s="91">
        <f>'Data Sheet'!K69/'Data Sheet'!K$66</f>
        <v>9.4566850275413117E-2</v>
      </c>
    </row>
    <row r="43" spans="2:13" x14ac:dyDescent="0.35">
      <c r="B43" s="96"/>
    </row>
    <row r="44" spans="2:13" x14ac:dyDescent="0.35">
      <c r="B44" s="96"/>
    </row>
    <row r="45" spans="2:13" x14ac:dyDescent="0.35">
      <c r="B45" s="96"/>
    </row>
    <row r="46" spans="2:13" x14ac:dyDescent="0.35">
      <c r="B46" s="96"/>
    </row>
  </sheetData>
  <mergeCells count="2">
    <mergeCell ref="B4:M4"/>
    <mergeCell ref="B25:M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860C-E21B-40FC-854D-41332146D57A}">
  <sheetPr>
    <tabColor rgb="FF002060"/>
  </sheetPr>
  <dimension ref="B4:L39"/>
  <sheetViews>
    <sheetView showGridLines="0" topLeftCell="A7" zoomScale="57" workbookViewId="0">
      <selection activeCell="L38" sqref="L38"/>
    </sheetView>
  </sheetViews>
  <sheetFormatPr defaultRowHeight="14.5" x14ac:dyDescent="0.35"/>
  <cols>
    <col min="1" max="1" width="1.81640625" customWidth="1"/>
    <col min="2" max="2" width="21.81640625" customWidth="1"/>
    <col min="3" max="3" width="12.36328125" customWidth="1"/>
    <col min="4" max="4" width="10.6328125" customWidth="1"/>
    <col min="5" max="5" width="12.1796875" customWidth="1"/>
    <col min="6" max="6" width="12.26953125" customWidth="1"/>
    <col min="7" max="10" width="10.6328125" customWidth="1"/>
    <col min="11" max="11" width="12.54296875" customWidth="1"/>
    <col min="12" max="12" width="10.6328125" customWidth="1"/>
  </cols>
  <sheetData>
    <row r="4" spans="2:12" x14ac:dyDescent="0.35">
      <c r="B4" s="113" t="str">
        <f>"Weighted average cost of capital"&amp; " - "&amp;'Data Sheet'!B1</f>
        <v>Weighted average cost of capital - HINDUSTAN UNILEVER LTD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</row>
    <row r="5" spans="2:12" x14ac:dyDescent="0.35">
      <c r="B5" s="120"/>
    </row>
    <row r="6" spans="2:12" x14ac:dyDescent="0.35">
      <c r="H6" t="s">
        <v>217</v>
      </c>
      <c r="I6" t="s">
        <v>217</v>
      </c>
      <c r="J6" t="s">
        <v>219</v>
      </c>
      <c r="K6" t="s">
        <v>220</v>
      </c>
    </row>
    <row r="7" spans="2:12" ht="16.5" x14ac:dyDescent="0.35">
      <c r="B7" s="69" t="s">
        <v>213</v>
      </c>
      <c r="C7" s="69"/>
      <c r="D7" s="69" t="s">
        <v>214</v>
      </c>
      <c r="E7" s="69" t="s">
        <v>215</v>
      </c>
      <c r="F7" s="69" t="s">
        <v>216</v>
      </c>
      <c r="G7" s="69" t="s">
        <v>235</v>
      </c>
      <c r="H7" s="69" t="s">
        <v>218</v>
      </c>
      <c r="I7" s="69" t="s">
        <v>221</v>
      </c>
      <c r="J7" s="69" t="s">
        <v>236</v>
      </c>
      <c r="K7" s="69" t="s">
        <v>237</v>
      </c>
      <c r="L7" s="69"/>
    </row>
    <row r="9" spans="2:12" x14ac:dyDescent="0.35">
      <c r="B9" t="s">
        <v>222</v>
      </c>
      <c r="D9" s="123" t="s">
        <v>223</v>
      </c>
      <c r="E9" s="151">
        <v>1648</v>
      </c>
      <c r="F9" s="151">
        <v>545210.93000000005</v>
      </c>
      <c r="G9" s="121">
        <v>0.3</v>
      </c>
      <c r="H9" s="128">
        <f>E9/F9</f>
        <v>3.0226833493598522E-3</v>
      </c>
      <c r="I9" s="128">
        <f>E9/F9</f>
        <v>3.0226833493598522E-3</v>
      </c>
      <c r="J9" s="142">
        <f>'BETA Peer comaprison '!S119</f>
        <v>0.59704653932833529</v>
      </c>
      <c r="K9" s="142">
        <f>J9/1+(1-G9)*H9</f>
        <v>0.59916241767288714</v>
      </c>
    </row>
    <row r="10" spans="2:12" x14ac:dyDescent="0.35">
      <c r="B10" t="s">
        <v>225</v>
      </c>
      <c r="D10" s="123" t="s">
        <v>223</v>
      </c>
      <c r="E10" s="151">
        <v>1166.8499999999999</v>
      </c>
      <c r="F10" s="151">
        <v>233504.44</v>
      </c>
      <c r="G10" s="121">
        <v>0.3</v>
      </c>
      <c r="H10" s="128">
        <f t="shared" ref="H10:H13" si="0">E10/F10</f>
        <v>4.9971212538827952E-3</v>
      </c>
      <c r="I10" s="128">
        <f t="shared" ref="I10:I13" si="1">E10/F10</f>
        <v>4.9971212538827952E-3</v>
      </c>
      <c r="J10" s="142">
        <f>'BETA Peer comaprison '!G119</f>
        <v>0.70715246880852134</v>
      </c>
      <c r="K10" s="142">
        <f t="shared" ref="K10:K13" si="2">J10/1+(1-G10)*H10</f>
        <v>0.71065045368623925</v>
      </c>
    </row>
    <row r="11" spans="2:12" x14ac:dyDescent="0.35">
      <c r="B11" t="s">
        <v>226</v>
      </c>
      <c r="D11" s="123" t="s">
        <v>223</v>
      </c>
      <c r="E11" s="151">
        <v>2826.25</v>
      </c>
      <c r="F11" s="151">
        <v>176905.39</v>
      </c>
      <c r="G11" s="121">
        <v>0.3</v>
      </c>
      <c r="H11" s="128">
        <f t="shared" si="0"/>
        <v>1.5976053640875496E-2</v>
      </c>
      <c r="I11" s="128">
        <f t="shared" si="1"/>
        <v>1.5976053640875496E-2</v>
      </c>
      <c r="J11" s="142">
        <f>'BETA Peer comaprison '!J119</f>
        <v>1.2450632627099858</v>
      </c>
      <c r="K11" s="142">
        <f t="shared" si="2"/>
        <v>1.2562465002585987</v>
      </c>
    </row>
    <row r="12" spans="2:12" x14ac:dyDescent="0.35">
      <c r="B12" t="s">
        <v>227</v>
      </c>
      <c r="D12" s="123" t="s">
        <v>223</v>
      </c>
      <c r="E12" s="151">
        <v>2753.56</v>
      </c>
      <c r="F12" s="151">
        <v>130557.85</v>
      </c>
      <c r="G12" s="121">
        <v>0.3</v>
      </c>
      <c r="H12" s="128">
        <f t="shared" si="0"/>
        <v>2.1090727214028108E-2</v>
      </c>
      <c r="I12" s="128">
        <f t="shared" si="1"/>
        <v>2.1090727214028108E-2</v>
      </c>
      <c r="J12" s="142">
        <f>'BETA Peer comaprison '!M119</f>
        <v>0.34115945726352076</v>
      </c>
      <c r="K12" s="142">
        <f t="shared" si="2"/>
        <v>0.35592296631334042</v>
      </c>
    </row>
    <row r="13" spans="2:12" x14ac:dyDescent="0.35">
      <c r="B13" t="s">
        <v>228</v>
      </c>
      <c r="D13" s="123" t="s">
        <v>223</v>
      </c>
      <c r="E13" s="151">
        <v>3828.47</v>
      </c>
      <c r="F13" s="151">
        <v>129952.68</v>
      </c>
      <c r="G13" s="121">
        <v>0.3</v>
      </c>
      <c r="H13" s="128">
        <f t="shared" si="0"/>
        <v>2.9460492850166692E-2</v>
      </c>
      <c r="I13" s="128">
        <f t="shared" si="1"/>
        <v>2.9460492850166692E-2</v>
      </c>
      <c r="J13" s="142">
        <f>'BETA Peer comaprison '!P119</f>
        <v>0.81397526085761729</v>
      </c>
      <c r="K13" s="142">
        <f t="shared" si="2"/>
        <v>0.83459760585273401</v>
      </c>
    </row>
    <row r="15" spans="2:12" x14ac:dyDescent="0.35">
      <c r="F15" s="66" t="s">
        <v>238</v>
      </c>
      <c r="G15" s="144">
        <f>AVERAGE(G9:G13)</f>
        <v>0.3</v>
      </c>
      <c r="H15" s="144">
        <f t="shared" ref="H15:K15" si="3">AVERAGE(H9:H13)</f>
        <v>1.490941566166259E-2</v>
      </c>
      <c r="I15" s="144">
        <f t="shared" si="3"/>
        <v>1.490941566166259E-2</v>
      </c>
      <c r="J15" s="145">
        <f t="shared" si="3"/>
        <v>0.74087939779359613</v>
      </c>
      <c r="K15" s="145">
        <f t="shared" si="3"/>
        <v>0.75131598875675998</v>
      </c>
    </row>
    <row r="16" spans="2:12" x14ac:dyDescent="0.35">
      <c r="F16" s="69" t="s">
        <v>194</v>
      </c>
      <c r="G16" s="125">
        <f>MEDIAN(G9:G13)</f>
        <v>0.3</v>
      </c>
      <c r="H16" s="125">
        <f t="shared" ref="H16:K16" si="4">MEDIAN(H9:H13)</f>
        <v>1.5976053640875496E-2</v>
      </c>
      <c r="I16" s="125">
        <f t="shared" si="4"/>
        <v>1.5976053640875496E-2</v>
      </c>
      <c r="J16" s="146">
        <f t="shared" si="4"/>
        <v>0.70715246880852134</v>
      </c>
      <c r="K16" s="146">
        <f t="shared" si="4"/>
        <v>0.71065045368623925</v>
      </c>
    </row>
    <row r="19" spans="2:11" x14ac:dyDescent="0.35">
      <c r="B19" s="118" t="s">
        <v>239</v>
      </c>
      <c r="C19" s="69"/>
      <c r="D19" s="69"/>
      <c r="E19" s="69"/>
      <c r="G19" s="118" t="s">
        <v>242</v>
      </c>
      <c r="H19" s="69"/>
      <c r="I19" s="69"/>
      <c r="J19" s="69"/>
      <c r="K19" s="69"/>
    </row>
    <row r="21" spans="2:11" x14ac:dyDescent="0.35">
      <c r="B21" t="s">
        <v>240</v>
      </c>
      <c r="E21" s="121">
        <f>17/E9</f>
        <v>1.0315533980582525E-2</v>
      </c>
      <c r="G21" t="s">
        <v>243</v>
      </c>
      <c r="K21" s="152">
        <v>6.4100000000000004E-2</v>
      </c>
    </row>
    <row r="22" spans="2:11" x14ac:dyDescent="0.35">
      <c r="B22" s="69" t="s">
        <v>241</v>
      </c>
      <c r="C22" s="69"/>
      <c r="D22" s="69"/>
      <c r="E22" s="125">
        <f>G16</f>
        <v>0.3</v>
      </c>
      <c r="G22" t="s">
        <v>244</v>
      </c>
      <c r="K22" s="5">
        <f>RM!F10</f>
        <v>0.16654799999999997</v>
      </c>
    </row>
    <row r="23" spans="2:11" x14ac:dyDescent="0.35">
      <c r="B23" t="s">
        <v>239</v>
      </c>
      <c r="E23" s="95">
        <f>E21*(1-E22)</f>
        <v>7.2208737864077671E-3</v>
      </c>
      <c r="G23" s="69" t="s">
        <v>245</v>
      </c>
      <c r="H23" s="69"/>
      <c r="I23" s="69"/>
      <c r="J23" s="69"/>
      <c r="K23" s="125">
        <f>K32</f>
        <v>1.828476628793042E-2</v>
      </c>
    </row>
    <row r="24" spans="2:11" x14ac:dyDescent="0.35">
      <c r="G24" t="s">
        <v>242</v>
      </c>
      <c r="K24" s="147">
        <f>K21+(K22*K23)</f>
        <v>6.7145291255722245E-2</v>
      </c>
    </row>
    <row r="27" spans="2:11" x14ac:dyDescent="0.35">
      <c r="B27" s="118" t="s">
        <v>246</v>
      </c>
      <c r="C27" s="69"/>
      <c r="D27" s="69"/>
      <c r="E27" s="69"/>
      <c r="G27" s="118" t="s">
        <v>245</v>
      </c>
      <c r="H27" s="69"/>
      <c r="I27" s="69"/>
      <c r="J27" s="69"/>
      <c r="K27" s="69"/>
    </row>
    <row r="28" spans="2:11" x14ac:dyDescent="0.35">
      <c r="D28" s="129" t="s">
        <v>249</v>
      </c>
      <c r="E28" s="129" t="s">
        <v>250</v>
      </c>
    </row>
    <row r="29" spans="2:11" x14ac:dyDescent="0.35">
      <c r="B29" t="s">
        <v>215</v>
      </c>
      <c r="C29" s="122">
        <f>E9</f>
        <v>1648</v>
      </c>
      <c r="D29" s="91">
        <f>C29/$C$31</f>
        <v>3.0135742685961074E-3</v>
      </c>
      <c r="E29" s="5">
        <f>I15</f>
        <v>1.490941566166259E-2</v>
      </c>
      <c r="G29" t="s">
        <v>251</v>
      </c>
      <c r="K29" s="142">
        <f>K16</f>
        <v>0.71065045368623925</v>
      </c>
    </row>
    <row r="30" spans="2:11" x14ac:dyDescent="0.35">
      <c r="B30" s="69" t="s">
        <v>247</v>
      </c>
      <c r="C30" s="124">
        <f>F9</f>
        <v>545210.93000000005</v>
      </c>
      <c r="D30" s="91">
        <f>C30/$C$31</f>
        <v>0.99698642573140395</v>
      </c>
      <c r="E30" s="126">
        <f>E31-E29</f>
        <v>0.9850905843383374</v>
      </c>
      <c r="G30" t="s">
        <v>252</v>
      </c>
      <c r="K30" s="5">
        <f>G13</f>
        <v>0.3</v>
      </c>
    </row>
    <row r="31" spans="2:11" x14ac:dyDescent="0.35">
      <c r="B31" t="s">
        <v>248</v>
      </c>
      <c r="C31" s="122">
        <f>SUM(C29:C30)</f>
        <v>546858.93000000005</v>
      </c>
      <c r="D31" s="127">
        <f>SUM(D29:D30)</f>
        <v>1</v>
      </c>
      <c r="E31" s="127">
        <f>D31</f>
        <v>1</v>
      </c>
      <c r="G31" s="69" t="s">
        <v>302</v>
      </c>
      <c r="H31" s="69"/>
      <c r="I31" s="69"/>
      <c r="J31" s="69"/>
      <c r="K31" s="125">
        <f>E33</f>
        <v>1.5135070722127449E-2</v>
      </c>
    </row>
    <row r="32" spans="2:11" x14ac:dyDescent="0.35">
      <c r="G32" t="s">
        <v>254</v>
      </c>
      <c r="K32" s="147">
        <f>K29*(1+(1-K30))*K31</f>
        <v>1.828476628793042E-2</v>
      </c>
    </row>
    <row r="33" spans="2:11" x14ac:dyDescent="0.35">
      <c r="B33" t="s">
        <v>253</v>
      </c>
      <c r="D33" s="147">
        <f>D29/D30</f>
        <v>3.0226833493598518E-3</v>
      </c>
      <c r="E33" s="147">
        <f>E29/E30</f>
        <v>1.5135070722127449E-2</v>
      </c>
    </row>
    <row r="35" spans="2:11" x14ac:dyDescent="0.35">
      <c r="G35" s="118" t="s">
        <v>255</v>
      </c>
      <c r="H35" s="69"/>
      <c r="I35" s="69"/>
    </row>
    <row r="36" spans="2:11" x14ac:dyDescent="0.35">
      <c r="J36" s="150" t="s">
        <v>309</v>
      </c>
      <c r="K36" s="150" t="s">
        <v>310</v>
      </c>
    </row>
    <row r="37" spans="2:11" x14ac:dyDescent="0.35">
      <c r="G37" t="s">
        <v>256</v>
      </c>
      <c r="J37" s="5">
        <f>E23</f>
        <v>7.2208737864077671E-3</v>
      </c>
      <c r="K37" s="5">
        <f>E29</f>
        <v>1.490941566166259E-2</v>
      </c>
    </row>
    <row r="38" spans="2:11" x14ac:dyDescent="0.35">
      <c r="G38" s="69" t="s">
        <v>257</v>
      </c>
      <c r="H38" s="69"/>
      <c r="I38" s="69"/>
      <c r="J38" s="125">
        <f>K24</f>
        <v>6.7145291255722245E-2</v>
      </c>
      <c r="K38" s="149">
        <f>E30</f>
        <v>0.9850905843383374</v>
      </c>
    </row>
    <row r="39" spans="2:11" x14ac:dyDescent="0.35">
      <c r="G39" t="s">
        <v>258</v>
      </c>
      <c r="K39" s="147">
        <f>(J37*K37)+(J38*K38)</f>
        <v>6.6251853207389244E-2</v>
      </c>
    </row>
  </sheetData>
  <pageMargins left="0.25" right="0.25" top="0.75" bottom="0.75" header="0.3" footer="0.3"/>
  <pageSetup paperSize="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868D-A1BB-4F5F-920F-7610DD59644A}">
  <sheetPr>
    <tabColor rgb="FF002060"/>
  </sheetPr>
  <dimension ref="B2:F31"/>
  <sheetViews>
    <sheetView showGridLines="0" workbookViewId="0">
      <selection activeCell="K15" sqref="K15"/>
    </sheetView>
  </sheetViews>
  <sheetFormatPr defaultRowHeight="14.5" x14ac:dyDescent="0.35"/>
  <cols>
    <col min="1" max="1" width="1.81640625" customWidth="1"/>
    <col min="5" max="5" width="18.08984375" customWidth="1"/>
  </cols>
  <sheetData>
    <row r="2" spans="2:6" x14ac:dyDescent="0.35">
      <c r="B2" t="s">
        <v>307</v>
      </c>
    </row>
    <row r="5" spans="2:6" x14ac:dyDescent="0.35">
      <c r="B5" s="148" t="s">
        <v>303</v>
      </c>
      <c r="C5" s="148" t="s">
        <v>304</v>
      </c>
    </row>
    <row r="6" spans="2:6" x14ac:dyDescent="0.35">
      <c r="B6">
        <v>2000</v>
      </c>
      <c r="C6" s="91">
        <v>-0.14649999999999999</v>
      </c>
    </row>
    <row r="7" spans="2:6" x14ac:dyDescent="0.35">
      <c r="B7">
        <v>2001</v>
      </c>
      <c r="C7" s="91">
        <v>-0.1618</v>
      </c>
    </row>
    <row r="8" spans="2:6" x14ac:dyDescent="0.35">
      <c r="B8">
        <v>2002</v>
      </c>
      <c r="C8" s="91">
        <v>3.2500000000000001E-2</v>
      </c>
      <c r="E8" t="s">
        <v>305</v>
      </c>
      <c r="F8" s="5">
        <f>AVERAGE(C6:C30)</f>
        <v>0.15334799999999998</v>
      </c>
    </row>
    <row r="9" spans="2:6" x14ac:dyDescent="0.35">
      <c r="B9">
        <v>2003</v>
      </c>
      <c r="C9" s="91">
        <v>0.71900000000000008</v>
      </c>
      <c r="E9" t="s">
        <v>306</v>
      </c>
      <c r="F9" s="91">
        <v>1.32E-2</v>
      </c>
    </row>
    <row r="10" spans="2:6" x14ac:dyDescent="0.35">
      <c r="B10">
        <v>2004</v>
      </c>
      <c r="C10" s="91">
        <v>0.10679999999999999</v>
      </c>
      <c r="E10" t="s">
        <v>308</v>
      </c>
      <c r="F10" s="91">
        <f>SUM(F8:F9)</f>
        <v>0.16654799999999997</v>
      </c>
    </row>
    <row r="11" spans="2:6" x14ac:dyDescent="0.35">
      <c r="B11">
        <v>2005</v>
      </c>
      <c r="C11" s="91">
        <v>0.36340000000000006</v>
      </c>
    </row>
    <row r="12" spans="2:6" x14ac:dyDescent="0.35">
      <c r="B12">
        <v>2006</v>
      </c>
      <c r="C12" s="91">
        <v>0.39829999999999999</v>
      </c>
    </row>
    <row r="13" spans="2:6" x14ac:dyDescent="0.35">
      <c r="B13">
        <v>2007</v>
      </c>
      <c r="C13" s="91">
        <v>0.54770000000000008</v>
      </c>
    </row>
    <row r="14" spans="2:6" x14ac:dyDescent="0.35">
      <c r="B14">
        <v>2008</v>
      </c>
      <c r="C14" s="91">
        <v>-0.51790000000000003</v>
      </c>
    </row>
    <row r="15" spans="2:6" x14ac:dyDescent="0.35">
      <c r="B15">
        <v>2009</v>
      </c>
      <c r="C15" s="91">
        <v>0.75760000000000005</v>
      </c>
    </row>
    <row r="16" spans="2:6" x14ac:dyDescent="0.35">
      <c r="B16">
        <v>2010</v>
      </c>
      <c r="C16" s="91">
        <v>0.17949999999999999</v>
      </c>
    </row>
    <row r="17" spans="2:3" x14ac:dyDescent="0.35">
      <c r="B17">
        <v>2011</v>
      </c>
      <c r="C17" s="91">
        <v>-0.2462</v>
      </c>
    </row>
    <row r="18" spans="2:3" x14ac:dyDescent="0.35">
      <c r="B18">
        <v>2012</v>
      </c>
      <c r="C18" s="91">
        <v>0.27699999999999997</v>
      </c>
    </row>
    <row r="19" spans="2:3" x14ac:dyDescent="0.35">
      <c r="B19">
        <v>2013</v>
      </c>
      <c r="C19" s="91">
        <v>6.7599999999999993E-2</v>
      </c>
    </row>
    <row r="20" spans="2:3" x14ac:dyDescent="0.35">
      <c r="B20">
        <v>2014</v>
      </c>
      <c r="C20" s="91">
        <v>0.31390000000000001</v>
      </c>
    </row>
    <row r="21" spans="2:3" x14ac:dyDescent="0.35">
      <c r="B21">
        <v>2015</v>
      </c>
      <c r="C21" s="91">
        <v>-4.0599999999999997E-2</v>
      </c>
    </row>
    <row r="22" spans="2:3" x14ac:dyDescent="0.35">
      <c r="B22">
        <v>2016</v>
      </c>
      <c r="C22" s="91">
        <v>3.0099999999999998E-2</v>
      </c>
    </row>
    <row r="23" spans="2:3" x14ac:dyDescent="0.35">
      <c r="B23">
        <v>2017</v>
      </c>
      <c r="C23" s="91">
        <v>0.28649999999999998</v>
      </c>
    </row>
    <row r="24" spans="2:3" x14ac:dyDescent="0.35">
      <c r="B24">
        <v>2018</v>
      </c>
      <c r="C24" s="91">
        <v>3.15E-2</v>
      </c>
    </row>
    <row r="25" spans="2:3" x14ac:dyDescent="0.35">
      <c r="B25">
        <v>2019</v>
      </c>
      <c r="C25" s="91">
        <v>0.1202</v>
      </c>
    </row>
    <row r="26" spans="2:3" x14ac:dyDescent="0.35">
      <c r="B26">
        <v>2020</v>
      </c>
      <c r="C26" s="91">
        <v>0.14899999999999999</v>
      </c>
    </row>
    <row r="27" spans="2:3" x14ac:dyDescent="0.35">
      <c r="B27">
        <v>2021</v>
      </c>
      <c r="C27" s="91">
        <v>0.2412</v>
      </c>
    </row>
    <row r="28" spans="2:3" x14ac:dyDescent="0.35">
      <c r="B28">
        <v>2022</v>
      </c>
      <c r="C28" s="91">
        <v>4.3200000000000002E-2</v>
      </c>
    </row>
    <row r="29" spans="2:3" x14ac:dyDescent="0.35">
      <c r="B29">
        <v>2023</v>
      </c>
      <c r="C29" s="91">
        <v>0.19420000000000001</v>
      </c>
    </row>
    <row r="30" spans="2:3" x14ac:dyDescent="0.35">
      <c r="B30">
        <v>2024</v>
      </c>
      <c r="C30" s="91">
        <v>8.7499999999999994E-2</v>
      </c>
    </row>
    <row r="31" spans="2:3" x14ac:dyDescent="0.35">
      <c r="B31">
        <v>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7716-38EB-42B4-8A56-B3AFF0E7FEF7}">
  <sheetPr>
    <tabColor rgb="FFFF0000"/>
  </sheetPr>
  <dimension ref="C6:H11"/>
  <sheetViews>
    <sheetView showGridLines="0" zoomScale="68" workbookViewId="0">
      <selection activeCell="M18" sqref="M18"/>
    </sheetView>
  </sheetViews>
  <sheetFormatPr defaultRowHeight="14.5" x14ac:dyDescent="0.35"/>
  <cols>
    <col min="1" max="1" width="1.81640625" customWidth="1"/>
    <col min="3" max="3" width="10.7265625" customWidth="1"/>
    <col min="4" max="4" width="15.90625" customWidth="1"/>
    <col min="5" max="5" width="16.453125" customWidth="1"/>
    <col min="6" max="6" width="18.453125" customWidth="1"/>
    <col min="7" max="7" width="13" customWidth="1"/>
    <col min="8" max="8" width="14.453125" customWidth="1"/>
  </cols>
  <sheetData>
    <row r="6" spans="3:8" x14ac:dyDescent="0.35">
      <c r="C6" t="s">
        <v>229</v>
      </c>
      <c r="D6" t="s">
        <v>230</v>
      </c>
      <c r="E6" t="s">
        <v>232</v>
      </c>
      <c r="F6" t="s">
        <v>233</v>
      </c>
      <c r="G6" t="s">
        <v>234</v>
      </c>
      <c r="H6" t="s">
        <v>231</v>
      </c>
    </row>
    <row r="7" spans="3:8" x14ac:dyDescent="0.35">
      <c r="C7">
        <v>1</v>
      </c>
      <c r="D7" t="s">
        <v>224</v>
      </c>
      <c r="E7">
        <v>2320.4499999999998</v>
      </c>
      <c r="F7">
        <v>545210.93000000005</v>
      </c>
      <c r="G7">
        <v>1648</v>
      </c>
      <c r="H7">
        <v>0.03</v>
      </c>
    </row>
    <row r="8" spans="3:8" x14ac:dyDescent="0.35">
      <c r="C8">
        <v>2</v>
      </c>
      <c r="D8" t="s">
        <v>225</v>
      </c>
      <c r="E8">
        <v>2421.85</v>
      </c>
      <c r="F8">
        <v>233504.44</v>
      </c>
      <c r="G8">
        <v>1166.8499999999999</v>
      </c>
      <c r="H8">
        <v>0.28999999999999998</v>
      </c>
    </row>
    <row r="9" spans="3:8" x14ac:dyDescent="0.35">
      <c r="C9">
        <v>3</v>
      </c>
      <c r="D9" t="s">
        <v>226</v>
      </c>
      <c r="E9">
        <v>523.1</v>
      </c>
      <c r="F9">
        <v>176905.39</v>
      </c>
      <c r="G9">
        <v>2826.25</v>
      </c>
      <c r="H9">
        <v>0.17</v>
      </c>
    </row>
    <row r="10" spans="3:8" x14ac:dyDescent="0.35">
      <c r="C10">
        <v>4</v>
      </c>
      <c r="D10" t="s">
        <v>227</v>
      </c>
      <c r="E10">
        <v>5420.3</v>
      </c>
      <c r="F10">
        <v>130557.85</v>
      </c>
      <c r="G10">
        <v>2753.56</v>
      </c>
      <c r="H10">
        <v>0.86</v>
      </c>
    </row>
    <row r="11" spans="3:8" x14ac:dyDescent="0.35">
      <c r="C11">
        <v>5</v>
      </c>
      <c r="D11" t="s">
        <v>228</v>
      </c>
      <c r="E11">
        <v>1270.3</v>
      </c>
      <c r="F11">
        <v>129952.68</v>
      </c>
      <c r="G11">
        <v>3828.47</v>
      </c>
      <c r="H11">
        <v>0.31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5131-CF23-430A-8ACB-0FCDF4D704E5}">
  <sheetPr>
    <tabColor rgb="FF002060"/>
  </sheetPr>
  <dimension ref="B5:T178"/>
  <sheetViews>
    <sheetView showGridLines="0" topLeftCell="C159" zoomScale="80" zoomScaleNormal="108" workbookViewId="0">
      <selection activeCell="P128" sqref="P128"/>
    </sheetView>
  </sheetViews>
  <sheetFormatPr defaultRowHeight="14.5" x14ac:dyDescent="0.35"/>
  <cols>
    <col min="1" max="1" width="1.81640625" customWidth="1"/>
    <col min="2" max="2" width="18.453125" customWidth="1"/>
    <col min="3" max="3" width="11.26953125" customWidth="1"/>
    <col min="4" max="4" width="16.36328125" customWidth="1"/>
    <col min="5" max="5" width="8.81640625" customWidth="1"/>
    <col min="6" max="6" width="20.81640625" customWidth="1"/>
    <col min="7" max="7" width="16.54296875" customWidth="1"/>
    <col min="9" max="9" width="13.54296875" customWidth="1"/>
    <col min="10" max="10" width="17.08984375" customWidth="1"/>
    <col min="12" max="12" width="19.54296875" customWidth="1"/>
    <col min="13" max="13" width="13.90625" customWidth="1"/>
    <col min="15" max="15" width="14.54296875" customWidth="1"/>
    <col min="16" max="16" width="15.7265625" customWidth="1"/>
    <col min="17" max="17" width="14.1796875" customWidth="1"/>
    <col min="18" max="18" width="13.90625" customWidth="1"/>
    <col min="19" max="19" width="12.453125" customWidth="1"/>
  </cols>
  <sheetData>
    <row r="5" spans="2:19" x14ac:dyDescent="0.35">
      <c r="B5" s="221" t="s">
        <v>262</v>
      </c>
      <c r="C5" s="221"/>
      <c r="D5" s="221"/>
      <c r="F5" s="221" t="s">
        <v>261</v>
      </c>
      <c r="G5" s="221"/>
      <c r="I5" s="221" t="s">
        <v>226</v>
      </c>
      <c r="J5" s="221"/>
      <c r="L5" s="221" t="s">
        <v>265</v>
      </c>
      <c r="M5" s="221"/>
      <c r="O5" s="221" t="s">
        <v>266</v>
      </c>
      <c r="P5" s="221"/>
      <c r="Q5" s="141"/>
      <c r="R5" s="221" t="s">
        <v>300</v>
      </c>
      <c r="S5" s="221"/>
    </row>
    <row r="7" spans="2:19" x14ac:dyDescent="0.35">
      <c r="B7" s="129" t="s">
        <v>259</v>
      </c>
      <c r="C7" s="133" t="s">
        <v>260</v>
      </c>
      <c r="D7" s="133" t="s">
        <v>263</v>
      </c>
      <c r="F7" s="133" t="s">
        <v>260</v>
      </c>
      <c r="G7" s="133" t="s">
        <v>264</v>
      </c>
      <c r="H7" s="134"/>
      <c r="I7" s="133" t="s">
        <v>260</v>
      </c>
      <c r="J7" s="133" t="s">
        <v>264</v>
      </c>
      <c r="K7" s="134"/>
      <c r="L7" s="133" t="s">
        <v>260</v>
      </c>
      <c r="M7" s="133" t="s">
        <v>264</v>
      </c>
      <c r="N7" s="134"/>
      <c r="O7" s="133" t="s">
        <v>260</v>
      </c>
      <c r="P7" s="133" t="s">
        <v>264</v>
      </c>
      <c r="R7" s="133" t="s">
        <v>260</v>
      </c>
      <c r="S7" s="133" t="s">
        <v>264</v>
      </c>
    </row>
    <row r="8" spans="2:19" x14ac:dyDescent="0.35">
      <c r="B8" s="131">
        <v>45033</v>
      </c>
      <c r="C8" s="136">
        <v>17624.05078125</v>
      </c>
      <c r="D8" s="132"/>
      <c r="F8" s="136">
        <v>2000.44177246093</v>
      </c>
      <c r="H8" s="130"/>
      <c r="I8" s="136">
        <v>278.949127197265</v>
      </c>
      <c r="K8" s="130"/>
      <c r="L8" s="136">
        <v>9.5759429931640607</v>
      </c>
      <c r="N8" s="130"/>
      <c r="O8" s="136">
        <v>963.598388671875</v>
      </c>
      <c r="R8" s="136">
        <v>2426.27978515625</v>
      </c>
    </row>
    <row r="9" spans="2:19" x14ac:dyDescent="0.35">
      <c r="B9" s="131">
        <v>45040</v>
      </c>
      <c r="C9" s="136">
        <v>18065</v>
      </c>
      <c r="D9" s="137">
        <f>C9/C8-1</f>
        <v>2.5019742862924632E-2</v>
      </c>
      <c r="F9" s="136">
        <v>2134.49267578125</v>
      </c>
      <c r="G9" s="137">
        <f>F9/F8-1</f>
        <v>6.7010649930295818E-2</v>
      </c>
      <c r="H9" s="130"/>
      <c r="I9" s="136">
        <v>288.53225708007801</v>
      </c>
      <c r="J9" s="137">
        <f>I9/I8-1</f>
        <v>3.4354399954928283E-2</v>
      </c>
      <c r="K9" s="130"/>
      <c r="L9" s="136">
        <v>9.7439422607421804</v>
      </c>
      <c r="M9" s="137">
        <f>L9/L8-1</f>
        <v>1.7543887604390296E-2</v>
      </c>
      <c r="N9" s="130"/>
      <c r="O9" s="136">
        <v>885.84875488281205</v>
      </c>
      <c r="P9" s="137">
        <f>O9/O8-1</f>
        <v>-8.0686761936396567E-2</v>
      </c>
      <c r="R9" s="136">
        <v>2386.79663085937</v>
      </c>
      <c r="S9" s="137">
        <f>R9/R8-1</f>
        <v>-1.6273125028050894E-2</v>
      </c>
    </row>
    <row r="10" spans="2:19" x14ac:dyDescent="0.35">
      <c r="B10" s="131">
        <v>45047</v>
      </c>
      <c r="C10" s="136">
        <v>18069</v>
      </c>
      <c r="D10" s="137">
        <f t="shared" ref="D10:D73" si="0">C10/C9-1</f>
        <v>2.2142264046509652E-4</v>
      </c>
      <c r="F10" s="136">
        <v>2159.84350585937</v>
      </c>
      <c r="G10" s="137">
        <f t="shared" ref="G10:G73" si="1">F10/F9-1</f>
        <v>1.1876747278526611E-2</v>
      </c>
      <c r="H10" s="130"/>
      <c r="I10" s="136">
        <v>290.00964355468699</v>
      </c>
      <c r="J10" s="137">
        <f t="shared" ref="J10:J73" si="2">I10/I9-1</f>
        <v>5.1203511508903787E-3</v>
      </c>
      <c r="K10" s="130"/>
      <c r="L10" s="136">
        <v>8.7359485626220703</v>
      </c>
      <c r="M10" s="137">
        <f t="shared" ref="M10:M73" si="3">L10/L9-1</f>
        <v>-0.10344824211256487</v>
      </c>
      <c r="N10" s="130"/>
      <c r="O10" s="136">
        <v>914.30328369140602</v>
      </c>
      <c r="P10" s="137">
        <f t="shared" ref="P10:P73" si="4">O10/O9-1</f>
        <v>3.212120427076548E-2</v>
      </c>
      <c r="R10" s="136">
        <v>2428.99975585937</v>
      </c>
      <c r="S10" s="137">
        <f t="shared" ref="S10:S73" si="5">R10/R9-1</f>
        <v>1.7681910747797902E-2</v>
      </c>
    </row>
    <row r="11" spans="2:19" x14ac:dyDescent="0.35">
      <c r="B11" s="131">
        <v>45054</v>
      </c>
      <c r="C11" s="136">
        <v>18314.80078125</v>
      </c>
      <c r="D11" s="137">
        <f t="shared" si="0"/>
        <v>1.3603452390835047E-2</v>
      </c>
      <c r="F11" s="136">
        <v>2137.70556640625</v>
      </c>
      <c r="G11" s="137">
        <f t="shared" si="1"/>
        <v>-1.024978865045667E-2</v>
      </c>
      <c r="H11" s="130"/>
      <c r="I11" s="136">
        <v>310.64334106445301</v>
      </c>
      <c r="J11" s="137">
        <f t="shared" si="2"/>
        <v>7.1148315127924855E-2</v>
      </c>
      <c r="K11" s="130"/>
      <c r="L11" s="136">
        <v>9.2472400665283203</v>
      </c>
      <c r="M11" s="137">
        <f t="shared" si="3"/>
        <v>5.8527302472209941E-2</v>
      </c>
      <c r="N11" s="130"/>
      <c r="O11" s="136">
        <v>975.36096191406205</v>
      </c>
      <c r="P11" s="137">
        <f t="shared" si="4"/>
        <v>6.6780552265044868E-2</v>
      </c>
      <c r="R11" s="136">
        <v>2548.13061523437</v>
      </c>
      <c r="S11" s="137">
        <f t="shared" si="5"/>
        <v>4.9045233161356228E-2</v>
      </c>
    </row>
    <row r="12" spans="2:19" x14ac:dyDescent="0.35">
      <c r="B12" s="131">
        <v>45061</v>
      </c>
      <c r="C12" s="136">
        <v>18203.400390625</v>
      </c>
      <c r="D12" s="137">
        <f t="shared" si="0"/>
        <v>-6.0825335724671303E-3</v>
      </c>
      <c r="F12" s="136">
        <v>2127.50439453125</v>
      </c>
      <c r="G12" s="137">
        <f t="shared" si="1"/>
        <v>-4.7720191383275878E-3</v>
      </c>
      <c r="H12" s="130"/>
      <c r="I12" s="136">
        <v>316.95223999023398</v>
      </c>
      <c r="J12" s="137">
        <f t="shared" si="2"/>
        <v>2.0309139427109102E-2</v>
      </c>
      <c r="K12" s="130"/>
      <c r="L12" s="136">
        <v>8.5738973617553693</v>
      </c>
      <c r="M12" s="137">
        <f t="shared" si="3"/>
        <v>-7.2815531978044912E-2</v>
      </c>
      <c r="N12" s="130"/>
      <c r="O12" s="136">
        <v>985.6591796875</v>
      </c>
      <c r="P12" s="137">
        <f t="shared" si="4"/>
        <v>1.0558365749259169E-2</v>
      </c>
      <c r="R12" s="136">
        <v>2565.66284179687</v>
      </c>
      <c r="S12" s="137">
        <f t="shared" si="5"/>
        <v>6.8804269520883476E-3</v>
      </c>
    </row>
    <row r="13" spans="2:19" x14ac:dyDescent="0.35">
      <c r="B13" s="131">
        <v>45068</v>
      </c>
      <c r="C13" s="136">
        <v>18499.349609375</v>
      </c>
      <c r="D13" s="137">
        <f t="shared" si="0"/>
        <v>1.6257908544516697E-2</v>
      </c>
      <c r="F13" s="136">
        <v>2116.87182617187</v>
      </c>
      <c r="G13" s="137">
        <f t="shared" si="1"/>
        <v>-4.997671631941647E-3</v>
      </c>
      <c r="H13" s="130"/>
      <c r="I13" s="136">
        <v>339.79205322265602</v>
      </c>
      <c r="J13" s="137">
        <f t="shared" si="2"/>
        <v>7.2060740864698714E-2</v>
      </c>
      <c r="K13" s="130"/>
      <c r="L13" s="136">
        <v>8.9330129623412997</v>
      </c>
      <c r="M13" s="137">
        <f t="shared" si="3"/>
        <v>4.188475618891796E-2</v>
      </c>
      <c r="N13" s="130"/>
      <c r="O13" s="136">
        <v>1024.90002441406</v>
      </c>
      <c r="P13" s="137">
        <f t="shared" si="4"/>
        <v>3.981177828527005E-2</v>
      </c>
      <c r="R13" s="136">
        <v>2576.25024414062</v>
      </c>
      <c r="S13" s="137">
        <f t="shared" si="5"/>
        <v>4.1265758583988177E-3</v>
      </c>
    </row>
    <row r="14" spans="2:19" x14ac:dyDescent="0.35">
      <c r="B14" s="131">
        <v>45075</v>
      </c>
      <c r="C14" s="136">
        <v>18534.099609375</v>
      </c>
      <c r="D14" s="137">
        <f t="shared" si="0"/>
        <v>1.8784444174400061E-3</v>
      </c>
      <c r="F14" s="136">
        <v>2162.45239257812</v>
      </c>
      <c r="G14" s="137">
        <f t="shared" si="1"/>
        <v>2.1532038852195123E-2</v>
      </c>
      <c r="H14" s="130"/>
      <c r="I14" s="136">
        <v>338.43441772460898</v>
      </c>
      <c r="J14" s="137">
        <f t="shared" si="2"/>
        <v>-3.9954892563582867E-3</v>
      </c>
      <c r="K14" s="130"/>
      <c r="L14" s="136">
        <v>8.8881235122680593</v>
      </c>
      <c r="M14" s="137">
        <f t="shared" si="3"/>
        <v>-5.0251186539725934E-3</v>
      </c>
      <c r="N14" s="130"/>
      <c r="O14" s="136">
        <v>1035.6376953125</v>
      </c>
      <c r="P14" s="137">
        <f t="shared" si="4"/>
        <v>1.0476798363409978E-2</v>
      </c>
      <c r="R14" s="136">
        <v>2638.75390625</v>
      </c>
      <c r="S14" s="137">
        <f t="shared" si="5"/>
        <v>2.4261487117385849E-2</v>
      </c>
    </row>
    <row r="15" spans="2:19" x14ac:dyDescent="0.35">
      <c r="B15" s="131">
        <v>45082</v>
      </c>
      <c r="C15" s="136">
        <v>18563.400390625</v>
      </c>
      <c r="D15" s="137">
        <f t="shared" si="0"/>
        <v>1.5809120414556066E-3</v>
      </c>
      <c r="F15" s="136">
        <v>2165.10083007812</v>
      </c>
      <c r="G15" s="137">
        <f t="shared" si="1"/>
        <v>1.2247379452559048E-3</v>
      </c>
      <c r="H15" s="130"/>
      <c r="I15" s="136">
        <v>317.72088623046801</v>
      </c>
      <c r="J15" s="137">
        <f t="shared" si="2"/>
        <v>-6.1203974564419172E-2</v>
      </c>
      <c r="K15" s="130"/>
      <c r="L15" s="136">
        <v>8.8881235122680593</v>
      </c>
      <c r="M15" s="137">
        <f t="shared" si="3"/>
        <v>0</v>
      </c>
      <c r="N15" s="130"/>
      <c r="O15" s="136">
        <v>1010.64849853515</v>
      </c>
      <c r="P15" s="137">
        <f t="shared" si="4"/>
        <v>-2.4129284681753127E-2</v>
      </c>
      <c r="R15" s="136">
        <v>2560.56372070312</v>
      </c>
      <c r="S15" s="137">
        <f t="shared" si="5"/>
        <v>-2.963148073857258E-2</v>
      </c>
    </row>
    <row r="16" spans="2:19" x14ac:dyDescent="0.35">
      <c r="B16" s="131">
        <v>45089</v>
      </c>
      <c r="C16" s="136">
        <v>18826</v>
      </c>
      <c r="D16" s="137">
        <f t="shared" si="0"/>
        <v>1.4146094134112497E-2</v>
      </c>
      <c r="F16" s="136">
        <v>2252.89770507812</v>
      </c>
      <c r="G16" s="137">
        <f t="shared" si="1"/>
        <v>4.0550940529098689E-2</v>
      </c>
      <c r="H16" s="130"/>
      <c r="I16" s="136">
        <v>327.92294311523398</v>
      </c>
      <c r="J16" s="137">
        <f t="shared" si="2"/>
        <v>3.211012346656239E-2</v>
      </c>
      <c r="K16" s="130"/>
      <c r="L16" s="136">
        <v>8.7085657119750906</v>
      </c>
      <c r="M16" s="137">
        <f t="shared" si="3"/>
        <v>-2.0201992022852666E-2</v>
      </c>
      <c r="N16" s="130"/>
      <c r="O16" s="136">
        <v>1044.47180175781</v>
      </c>
      <c r="P16" s="137">
        <f t="shared" si="4"/>
        <v>3.3466930660545291E-2</v>
      </c>
      <c r="R16" s="136">
        <v>2637.73364257812</v>
      </c>
      <c r="S16" s="137">
        <f t="shared" si="5"/>
        <v>3.0137864272250736E-2</v>
      </c>
    </row>
    <row r="17" spans="2:19" x14ac:dyDescent="0.35">
      <c r="B17" s="131">
        <v>45096</v>
      </c>
      <c r="C17" s="136">
        <v>18665.5</v>
      </c>
      <c r="D17" s="137">
        <f t="shared" si="0"/>
        <v>-8.5254435355359703E-3</v>
      </c>
      <c r="F17" s="136">
        <v>2210.55395507812</v>
      </c>
      <c r="G17" s="137">
        <f t="shared" si="1"/>
        <v>-1.8795238640687328E-2</v>
      </c>
      <c r="H17" s="130"/>
      <c r="I17" s="136">
        <v>305.90167236328102</v>
      </c>
      <c r="J17" s="137">
        <f t="shared" si="2"/>
        <v>-6.7153796994968262E-2</v>
      </c>
      <c r="K17" s="130"/>
      <c r="L17" s="136">
        <v>8.1250028610229492</v>
      </c>
      <c r="M17" s="137">
        <f t="shared" si="3"/>
        <v>-6.701021388053463E-2</v>
      </c>
      <c r="N17" s="130"/>
      <c r="O17" s="136">
        <v>1011.23413085937</v>
      </c>
      <c r="P17" s="137">
        <f t="shared" si="4"/>
        <v>-3.1822468392638359E-2</v>
      </c>
      <c r="R17" s="136">
        <v>2565.80883789062</v>
      </c>
      <c r="S17" s="137">
        <f t="shared" si="5"/>
        <v>-2.7267652626669636E-2</v>
      </c>
    </row>
    <row r="18" spans="2:19" x14ac:dyDescent="0.35">
      <c r="B18" s="131">
        <v>45103</v>
      </c>
      <c r="C18" s="136">
        <v>19189.05078125</v>
      </c>
      <c r="D18" s="137">
        <f t="shared" si="0"/>
        <v>2.8049116351021919E-2</v>
      </c>
      <c r="F18" s="136">
        <v>2245.61474609375</v>
      </c>
      <c r="G18" s="137">
        <f t="shared" si="1"/>
        <v>1.5860635717616312E-2</v>
      </c>
      <c r="H18" s="130"/>
      <c r="I18" s="136">
        <v>320.45608520507801</v>
      </c>
      <c r="J18" s="137">
        <f t="shared" si="2"/>
        <v>4.7578729234642791E-2</v>
      </c>
      <c r="K18" s="130"/>
      <c r="L18" s="136">
        <v>7.76588630676269</v>
      </c>
      <c r="M18" s="137">
        <f t="shared" si="3"/>
        <v>-4.4198944960746278E-2</v>
      </c>
      <c r="N18" s="130"/>
      <c r="O18" s="136">
        <v>1055.20922851562</v>
      </c>
      <c r="P18" s="137">
        <f t="shared" si="4"/>
        <v>4.3486563906697695E-2</v>
      </c>
      <c r="R18" s="136">
        <v>2622.5556640625</v>
      </c>
      <c r="S18" s="137">
        <f t="shared" si="5"/>
        <v>2.2116544823554518E-2</v>
      </c>
    </row>
    <row r="19" spans="2:19" x14ac:dyDescent="0.35">
      <c r="B19" s="131">
        <v>45110</v>
      </c>
      <c r="C19" s="136">
        <v>19331.80078125</v>
      </c>
      <c r="D19" s="137">
        <f t="shared" si="0"/>
        <v>7.4391381641183418E-3</v>
      </c>
      <c r="F19" s="136">
        <v>2246.78198242187</v>
      </c>
      <c r="G19" s="137">
        <f t="shared" si="1"/>
        <v>5.1978476279179731E-4</v>
      </c>
      <c r="H19" s="130"/>
      <c r="I19" s="136">
        <v>327.88299560546801</v>
      </c>
      <c r="J19" s="137">
        <f t="shared" si="2"/>
        <v>2.3176062940533981E-2</v>
      </c>
      <c r="K19" s="130"/>
      <c r="L19" s="136">
        <v>7.7209968566894496</v>
      </c>
      <c r="M19" s="137">
        <f t="shared" si="3"/>
        <v>-5.7803383026802102E-3</v>
      </c>
      <c r="N19" s="130"/>
      <c r="O19" s="136">
        <v>1037.24829101562</v>
      </c>
      <c r="P19" s="137">
        <f t="shared" si="4"/>
        <v>-1.7021209646987168E-2</v>
      </c>
      <c r="R19" s="136">
        <v>2642.091796875</v>
      </c>
      <c r="S19" s="137">
        <f t="shared" si="5"/>
        <v>7.4492728906419003E-3</v>
      </c>
    </row>
    <row r="20" spans="2:19" x14ac:dyDescent="0.35">
      <c r="B20" s="131">
        <v>45117</v>
      </c>
      <c r="C20" s="136">
        <v>19564.5</v>
      </c>
      <c r="D20" s="137">
        <f t="shared" si="0"/>
        <v>1.2037120668846102E-2</v>
      </c>
      <c r="F20" s="136">
        <v>2269.5234375</v>
      </c>
      <c r="G20" s="137">
        <f t="shared" si="1"/>
        <v>1.0121789855914942E-2</v>
      </c>
      <c r="H20" s="130"/>
      <c r="I20" s="136">
        <v>332.55477905273398</v>
      </c>
      <c r="J20" s="137">
        <f t="shared" si="2"/>
        <v>1.4248324889917008E-2</v>
      </c>
      <c r="K20" s="130"/>
      <c r="L20" s="136">
        <v>8.1250028610229492</v>
      </c>
      <c r="M20" s="137">
        <f t="shared" si="3"/>
        <v>5.2325627355160664E-2</v>
      </c>
      <c r="N20" s="130"/>
      <c r="O20" s="136">
        <v>1037.58996582031</v>
      </c>
      <c r="P20" s="137">
        <f t="shared" si="4"/>
        <v>3.2940503026090973E-4</v>
      </c>
      <c r="R20" s="136">
        <v>2621.33154296875</v>
      </c>
      <c r="S20" s="137">
        <f t="shared" si="5"/>
        <v>-7.8575066660456772E-3</v>
      </c>
    </row>
    <row r="21" spans="2:19" x14ac:dyDescent="0.35">
      <c r="B21" s="131">
        <v>45124</v>
      </c>
      <c r="C21" s="136">
        <v>19745</v>
      </c>
      <c r="D21" s="137">
        <f t="shared" si="0"/>
        <v>9.225893838329613E-3</v>
      </c>
      <c r="F21" s="136">
        <v>2254.27075195312</v>
      </c>
      <c r="G21" s="137">
        <f t="shared" si="1"/>
        <v>-6.7206556649098692E-3</v>
      </c>
      <c r="H21" s="130"/>
      <c r="I21" s="136">
        <v>319.51770019531199</v>
      </c>
      <c r="J21" s="137">
        <f t="shared" si="2"/>
        <v>-3.920280109808516E-2</v>
      </c>
      <c r="K21" s="130"/>
      <c r="L21" s="136">
        <v>8.3045597076415998</v>
      </c>
      <c r="M21" s="137">
        <f t="shared" si="3"/>
        <v>2.209929641748376E-2</v>
      </c>
      <c r="N21" s="130"/>
      <c r="O21" s="136">
        <v>1031.34265136718</v>
      </c>
      <c r="P21" s="137">
        <f t="shared" si="4"/>
        <v>-6.0209858026054608E-3</v>
      </c>
      <c r="R21" s="136">
        <v>2549.94482421875</v>
      </c>
      <c r="S21" s="137">
        <f t="shared" si="5"/>
        <v>-2.7232998794632479E-2</v>
      </c>
    </row>
    <row r="22" spans="2:19" x14ac:dyDescent="0.35">
      <c r="B22" s="131">
        <v>45131</v>
      </c>
      <c r="C22" s="136">
        <v>19646.05078125</v>
      </c>
      <c r="D22" s="137">
        <f t="shared" si="0"/>
        <v>-5.0113557229678474E-3</v>
      </c>
      <c r="F22" s="136">
        <v>2205.06616210937</v>
      </c>
      <c r="G22" s="137">
        <f t="shared" si="1"/>
        <v>-2.1827275983205996E-2</v>
      </c>
      <c r="H22" s="130"/>
      <c r="I22" s="136">
        <v>321.13488769531199</v>
      </c>
      <c r="J22" s="137">
        <f t="shared" si="2"/>
        <v>5.0613393217697755E-3</v>
      </c>
      <c r="K22" s="130"/>
      <c r="L22" s="136">
        <v>8.3943395614624006</v>
      </c>
      <c r="M22" s="137">
        <f t="shared" si="3"/>
        <v>1.0810910750414404E-2</v>
      </c>
      <c r="N22" s="130"/>
      <c r="O22" s="136">
        <v>1011.23413085937</v>
      </c>
      <c r="P22" s="137">
        <f t="shared" si="4"/>
        <v>-1.9497419680213457E-2</v>
      </c>
      <c r="R22" s="136">
        <v>2530.94775390625</v>
      </c>
      <c r="S22" s="137">
        <f t="shared" si="5"/>
        <v>-7.4499926947714235E-3</v>
      </c>
    </row>
    <row r="23" spans="2:19" x14ac:dyDescent="0.35">
      <c r="B23" s="131">
        <v>45138</v>
      </c>
      <c r="C23" s="136">
        <v>19517</v>
      </c>
      <c r="D23" s="137">
        <f t="shared" si="0"/>
        <v>-6.5687899663359195E-3</v>
      </c>
      <c r="F23" s="136">
        <v>2202.47631835937</v>
      </c>
      <c r="G23" s="137">
        <f t="shared" si="1"/>
        <v>-1.1744970715629188E-3</v>
      </c>
      <c r="H23" s="130"/>
      <c r="I23" s="136">
        <v>329.54006958007801</v>
      </c>
      <c r="J23" s="137">
        <f t="shared" si="2"/>
        <v>2.6173368907649541E-2</v>
      </c>
      <c r="K23" s="130"/>
      <c r="L23" s="136">
        <v>8.1698913574218697</v>
      </c>
      <c r="M23" s="137">
        <f t="shared" si="3"/>
        <v>-2.673804203381891E-2</v>
      </c>
      <c r="N23" s="130"/>
      <c r="O23" s="136">
        <v>993.27307128906205</v>
      </c>
      <c r="P23" s="137">
        <f t="shared" si="4"/>
        <v>-1.7761524282259189E-2</v>
      </c>
      <c r="R23" s="136">
        <v>2493.14892578125</v>
      </c>
      <c r="S23" s="137">
        <f t="shared" si="5"/>
        <v>-1.4934653655596652E-2</v>
      </c>
    </row>
    <row r="24" spans="2:19" x14ac:dyDescent="0.35">
      <c r="B24" s="131">
        <v>45145</v>
      </c>
      <c r="C24" s="136">
        <v>19428.30078125</v>
      </c>
      <c r="D24" s="137">
        <f t="shared" si="0"/>
        <v>-4.5447158246656461E-3</v>
      </c>
      <c r="F24" s="136">
        <v>2142.43798828125</v>
      </c>
      <c r="G24" s="137">
        <f t="shared" si="1"/>
        <v>-2.7259466800007459E-2</v>
      </c>
      <c r="H24" s="130"/>
      <c r="I24" s="136">
        <v>339.16314697265602</v>
      </c>
      <c r="J24" s="137">
        <f t="shared" si="2"/>
        <v>2.9201539602878634E-2</v>
      </c>
      <c r="K24" s="130"/>
      <c r="L24" s="136">
        <v>8.3045597076415998</v>
      </c>
      <c r="M24" s="137">
        <f t="shared" si="3"/>
        <v>1.6483493393996129E-2</v>
      </c>
      <c r="N24" s="130"/>
      <c r="O24" s="136">
        <v>995.81109619140602</v>
      </c>
      <c r="P24" s="137">
        <f t="shared" si="4"/>
        <v>2.5552136423572236E-3</v>
      </c>
      <c r="R24" s="136">
        <v>2449.86645507812</v>
      </c>
      <c r="S24" s="137">
        <f t="shared" si="5"/>
        <v>-1.7360563685367092E-2</v>
      </c>
    </row>
    <row r="25" spans="2:19" x14ac:dyDescent="0.35">
      <c r="B25" s="131">
        <v>45152</v>
      </c>
      <c r="C25" s="136">
        <v>19310.150390625</v>
      </c>
      <c r="D25" s="137">
        <f t="shared" si="0"/>
        <v>-6.0813548212629298E-3</v>
      </c>
      <c r="F25" s="136">
        <v>2141.2216796875</v>
      </c>
      <c r="G25" s="137">
        <f t="shared" si="1"/>
        <v>-5.677217265577239E-4</v>
      </c>
      <c r="H25" s="130"/>
      <c r="I25" s="136">
        <v>359.06814575195301</v>
      </c>
      <c r="J25" s="137">
        <f t="shared" si="2"/>
        <v>5.8688566128034525E-2</v>
      </c>
      <c r="K25" s="130"/>
      <c r="L25" s="136">
        <v>8.3494501113891602</v>
      </c>
      <c r="M25" s="137">
        <f t="shared" si="3"/>
        <v>5.4055127939236502E-3</v>
      </c>
      <c r="N25" s="130"/>
      <c r="O25" s="136">
        <v>1001.96069335937</v>
      </c>
      <c r="P25" s="137">
        <f t="shared" si="4"/>
        <v>6.1754655993329077E-3</v>
      </c>
      <c r="R25" s="136">
        <v>2501.71728515625</v>
      </c>
      <c r="S25" s="137">
        <f t="shared" si="5"/>
        <v>2.1164757764919218E-2</v>
      </c>
    </row>
    <row r="26" spans="2:19" x14ac:dyDescent="0.35">
      <c r="B26" s="131">
        <v>45159</v>
      </c>
      <c r="C26" s="136">
        <v>19265.80078125</v>
      </c>
      <c r="D26" s="137">
        <f t="shared" si="0"/>
        <v>-2.2966993253730195E-3</v>
      </c>
      <c r="F26" s="136">
        <v>2176.3857421875</v>
      </c>
      <c r="G26" s="137">
        <f t="shared" si="1"/>
        <v>1.6422429696831831E-2</v>
      </c>
      <c r="H26" s="130"/>
      <c r="I26" s="136">
        <v>348.92596435546801</v>
      </c>
      <c r="J26" s="137">
        <f t="shared" si="2"/>
        <v>-2.8245840006903E-2</v>
      </c>
      <c r="K26" s="130"/>
      <c r="L26" s="136">
        <v>8.3943395614624006</v>
      </c>
      <c r="M26" s="137">
        <f t="shared" si="3"/>
        <v>5.3763361029020018E-3</v>
      </c>
      <c r="N26" s="130"/>
      <c r="O26" s="136">
        <v>1005.76770019531</v>
      </c>
      <c r="P26" s="137">
        <f t="shared" si="4"/>
        <v>3.7995570696249814E-3</v>
      </c>
      <c r="R26" s="136">
        <v>2510.33447265625</v>
      </c>
      <c r="S26" s="137">
        <f t="shared" si="5"/>
        <v>3.4445089183856581E-3</v>
      </c>
    </row>
    <row r="27" spans="2:19" x14ac:dyDescent="0.35">
      <c r="B27" s="131">
        <v>45166</v>
      </c>
      <c r="C27" s="136">
        <v>19435.30078125</v>
      </c>
      <c r="D27" s="137">
        <f t="shared" si="0"/>
        <v>8.797973254502045E-3</v>
      </c>
      <c r="F27" s="136">
        <v>2149.61279296875</v>
      </c>
      <c r="G27" s="137">
        <f t="shared" si="1"/>
        <v>-1.2301564331992143E-2</v>
      </c>
      <c r="H27" s="130"/>
      <c r="I27" s="136">
        <v>363.54025268554602</v>
      </c>
      <c r="J27" s="137">
        <f t="shared" si="2"/>
        <v>4.1883636710937644E-2</v>
      </c>
      <c r="K27" s="130"/>
      <c r="L27" s="136">
        <v>8.3181962966918892</v>
      </c>
      <c r="M27" s="137">
        <f t="shared" si="3"/>
        <v>-9.0707868335559994E-3</v>
      </c>
      <c r="N27" s="130"/>
      <c r="O27" s="136">
        <v>981.36413574218705</v>
      </c>
      <c r="P27" s="137">
        <f t="shared" si="4"/>
        <v>-2.4263619172085193E-2</v>
      </c>
      <c r="R27" s="136">
        <v>2452.80419921875</v>
      </c>
      <c r="S27" s="137">
        <f t="shared" si="5"/>
        <v>-2.2917373785902639E-2</v>
      </c>
    </row>
    <row r="28" spans="2:19" x14ac:dyDescent="0.35">
      <c r="B28" s="131">
        <v>45173</v>
      </c>
      <c r="C28" s="136">
        <v>19819.94921875</v>
      </c>
      <c r="D28" s="137">
        <f t="shared" si="0"/>
        <v>1.9791226378708116E-2</v>
      </c>
      <c r="F28" s="136">
        <v>2146.44482421875</v>
      </c>
      <c r="G28" s="137">
        <f t="shared" si="1"/>
        <v>-1.4737392521864123E-3</v>
      </c>
      <c r="H28" s="130"/>
      <c r="I28" s="136">
        <v>363.32064819335898</v>
      </c>
      <c r="J28" s="137">
        <f t="shared" si="2"/>
        <v>-6.0407201283707579E-4</v>
      </c>
      <c r="K28" s="130"/>
      <c r="L28" s="136">
        <v>8.1363782882690394</v>
      </c>
      <c r="M28" s="137">
        <f t="shared" si="3"/>
        <v>-2.1857864606436128E-2</v>
      </c>
      <c r="N28" s="130"/>
      <c r="O28" s="136">
        <v>995.95751953125</v>
      </c>
      <c r="P28" s="137">
        <f t="shared" si="4"/>
        <v>1.4870508568184171E-2</v>
      </c>
      <c r="R28" s="136">
        <v>2461.61743164062</v>
      </c>
      <c r="S28" s="137">
        <f t="shared" si="5"/>
        <v>3.5931251359879735E-3</v>
      </c>
    </row>
    <row r="29" spans="2:19" x14ac:dyDescent="0.35">
      <c r="B29" s="131">
        <v>45180</v>
      </c>
      <c r="C29" s="136">
        <v>20192.349609375</v>
      </c>
      <c r="D29" s="137">
        <f t="shared" si="0"/>
        <v>1.8789169766020519E-2</v>
      </c>
      <c r="F29" s="136">
        <v>2218.93530273437</v>
      </c>
      <c r="G29" s="137">
        <f t="shared" si="1"/>
        <v>3.3772346578722079E-2</v>
      </c>
      <c r="H29" s="130"/>
      <c r="I29" s="136">
        <v>365.61663818359301</v>
      </c>
      <c r="J29" s="137">
        <f t="shared" si="2"/>
        <v>6.319459137957173E-3</v>
      </c>
      <c r="K29" s="130"/>
      <c r="L29" s="136">
        <v>7.8636503219604403</v>
      </c>
      <c r="M29" s="137">
        <f t="shared" si="3"/>
        <v>-3.3519577955441915E-2</v>
      </c>
      <c r="N29" s="130"/>
      <c r="O29" s="136">
        <v>978.14294433593705</v>
      </c>
      <c r="P29" s="137">
        <f t="shared" si="4"/>
        <v>-1.7886882568743934E-2</v>
      </c>
      <c r="R29" s="136">
        <v>2418.43286132812</v>
      </c>
      <c r="S29" s="137">
        <f t="shared" si="5"/>
        <v>-1.7543168876456239E-2</v>
      </c>
    </row>
    <row r="30" spans="2:19" x14ac:dyDescent="0.35">
      <c r="B30" s="131">
        <v>45187</v>
      </c>
      <c r="C30" s="136">
        <v>19674.25</v>
      </c>
      <c r="D30" s="137">
        <f t="shared" si="0"/>
        <v>-2.5658213105346328E-2</v>
      </c>
      <c r="F30" s="136">
        <v>2210.126953125</v>
      </c>
      <c r="G30" s="137">
        <f t="shared" si="1"/>
        <v>-3.96962885691865E-3</v>
      </c>
      <c r="H30" s="130"/>
      <c r="I30" s="136">
        <v>366.65475463867102</v>
      </c>
      <c r="J30" s="137">
        <f t="shared" si="2"/>
        <v>2.8393578044900725E-3</v>
      </c>
      <c r="K30" s="130"/>
      <c r="L30" s="136">
        <v>7.5909233093261701</v>
      </c>
      <c r="M30" s="137">
        <f t="shared" si="3"/>
        <v>-3.4681986287289357E-2</v>
      </c>
      <c r="N30" s="130"/>
      <c r="O30" s="136">
        <v>962.62225341796795</v>
      </c>
      <c r="P30" s="137">
        <f t="shared" si="4"/>
        <v>-1.5867507921867308E-2</v>
      </c>
      <c r="R30" s="136">
        <v>2430.91796875</v>
      </c>
      <c r="S30" s="137">
        <f t="shared" si="5"/>
        <v>5.1624784055503969E-3</v>
      </c>
    </row>
    <row r="31" spans="2:19" x14ac:dyDescent="0.35">
      <c r="B31" s="131">
        <v>45194</v>
      </c>
      <c r="C31" s="136">
        <v>19638.30078125</v>
      </c>
      <c r="D31" s="137">
        <f t="shared" si="0"/>
        <v>-1.8272218127756146E-3</v>
      </c>
      <c r="F31" s="136">
        <v>2207.6162109375</v>
      </c>
      <c r="G31" s="137">
        <f t="shared" si="1"/>
        <v>-1.1360171794430052E-3</v>
      </c>
      <c r="H31" s="130"/>
      <c r="I31" s="136">
        <v>377.615478515625</v>
      </c>
      <c r="J31" s="137">
        <f t="shared" si="2"/>
        <v>2.9893854472869075E-2</v>
      </c>
      <c r="K31" s="130"/>
      <c r="L31" s="136">
        <v>7.3636498451232901</v>
      </c>
      <c r="M31" s="137">
        <f t="shared" si="3"/>
        <v>-2.9940160760635437E-2</v>
      </c>
      <c r="N31" s="130"/>
      <c r="O31" s="136">
        <v>967.94226074218705</v>
      </c>
      <c r="P31" s="137">
        <f t="shared" si="4"/>
        <v>5.5265783699987026E-3</v>
      </c>
      <c r="R31" s="136">
        <v>2414.41796875</v>
      </c>
      <c r="S31" s="137">
        <f t="shared" si="5"/>
        <v>-6.7875593549889812E-3</v>
      </c>
    </row>
    <row r="32" spans="2:19" x14ac:dyDescent="0.35">
      <c r="B32" s="131">
        <v>45201</v>
      </c>
      <c r="C32" s="136">
        <v>19653.5</v>
      </c>
      <c r="D32" s="137">
        <f t="shared" si="0"/>
        <v>7.7395793654977396E-4</v>
      </c>
      <c r="F32" s="136">
        <v>2247.37573242187</v>
      </c>
      <c r="G32" s="137">
        <f t="shared" si="1"/>
        <v>1.8010160138969722E-2</v>
      </c>
      <c r="H32" s="130"/>
      <c r="I32" s="136">
        <v>370.16857910156199</v>
      </c>
      <c r="J32" s="137">
        <f t="shared" si="2"/>
        <v>-1.9720853189959642E-2</v>
      </c>
      <c r="K32" s="130"/>
      <c r="L32" s="136">
        <v>7.3636498451232901</v>
      </c>
      <c r="M32" s="137">
        <f t="shared" si="3"/>
        <v>0</v>
      </c>
      <c r="N32" s="130"/>
      <c r="O32" s="136">
        <v>948.46820068359295</v>
      </c>
      <c r="P32" s="137">
        <f t="shared" si="4"/>
        <v>-2.0119030698858009E-2</v>
      </c>
      <c r="R32" s="136">
        <v>2447.51611328125</v>
      </c>
      <c r="S32" s="137">
        <f t="shared" si="5"/>
        <v>1.3708539681050125E-2</v>
      </c>
    </row>
    <row r="33" spans="2:19" x14ac:dyDescent="0.35">
      <c r="B33" s="131">
        <v>45208</v>
      </c>
      <c r="C33" s="136">
        <v>19751.05078125</v>
      </c>
      <c r="D33" s="137">
        <f t="shared" si="0"/>
        <v>4.9635322588852393E-3</v>
      </c>
      <c r="F33" s="136">
        <v>2310.35668945312</v>
      </c>
      <c r="G33" s="137">
        <f t="shared" si="1"/>
        <v>2.8024222261837428E-2</v>
      </c>
      <c r="H33" s="130"/>
      <c r="I33" s="136">
        <v>371.14685058593699</v>
      </c>
      <c r="J33" s="137">
        <f t="shared" si="2"/>
        <v>2.6427728867461919E-3</v>
      </c>
      <c r="K33" s="130"/>
      <c r="L33" s="136">
        <v>7.6363768577575604</v>
      </c>
      <c r="M33" s="137">
        <f t="shared" si="3"/>
        <v>3.7036933907834912E-2</v>
      </c>
      <c r="N33" s="130"/>
      <c r="O33" s="136">
        <v>959.49859619140602</v>
      </c>
      <c r="P33" s="137">
        <f t="shared" si="4"/>
        <v>1.1629694595836737E-2</v>
      </c>
      <c r="R33" s="136">
        <v>2516.11206054687</v>
      </c>
      <c r="S33" s="137">
        <f t="shared" si="5"/>
        <v>2.8026760229846737E-2</v>
      </c>
    </row>
    <row r="34" spans="2:19" x14ac:dyDescent="0.35">
      <c r="B34" s="131">
        <v>45215</v>
      </c>
      <c r="C34" s="136">
        <v>19542.650390625</v>
      </c>
      <c r="D34" s="137">
        <f t="shared" si="0"/>
        <v>-1.0551357137051021E-2</v>
      </c>
      <c r="F34" s="136">
        <v>2381.50366210937</v>
      </c>
      <c r="G34" s="137">
        <f t="shared" si="1"/>
        <v>3.0794800205976358E-2</v>
      </c>
      <c r="H34" s="130"/>
      <c r="I34" s="136">
        <v>369.82922363281199</v>
      </c>
      <c r="J34" s="137">
        <f t="shared" si="2"/>
        <v>-3.550149896314192E-3</v>
      </c>
      <c r="K34" s="130"/>
      <c r="L34" s="136">
        <v>7.0454673767089799</v>
      </c>
      <c r="M34" s="137">
        <f t="shared" si="3"/>
        <v>-7.7380869495498161E-2</v>
      </c>
      <c r="N34" s="130"/>
      <c r="O34" s="136">
        <v>964.57464599609295</v>
      </c>
      <c r="P34" s="137">
        <f t="shared" si="4"/>
        <v>5.2903149883027911E-3</v>
      </c>
      <c r="R34" s="136">
        <v>2443.3544921875</v>
      </c>
      <c r="S34" s="137">
        <f t="shared" si="5"/>
        <v>-2.8916664523898961E-2</v>
      </c>
    </row>
    <row r="35" spans="2:19" x14ac:dyDescent="0.35">
      <c r="B35" s="131">
        <v>45222</v>
      </c>
      <c r="C35" s="136">
        <v>19047.25</v>
      </c>
      <c r="D35" s="137">
        <f t="shared" si="0"/>
        <v>-2.5349703378138133E-2</v>
      </c>
      <c r="F35" s="136">
        <v>2359.65502929687</v>
      </c>
      <c r="G35" s="137">
        <f t="shared" si="1"/>
        <v>-9.1743015810221706E-3</v>
      </c>
      <c r="H35" s="130"/>
      <c r="I35" s="136">
        <v>367.932525634765</v>
      </c>
      <c r="J35" s="137">
        <f t="shared" si="2"/>
        <v>-5.1285779404229848E-3</v>
      </c>
      <c r="K35" s="130"/>
      <c r="L35" s="136">
        <v>7.0454673767089799</v>
      </c>
      <c r="M35" s="137">
        <f t="shared" si="3"/>
        <v>0</v>
      </c>
      <c r="N35" s="130"/>
      <c r="O35" s="136">
        <v>963.69598388671795</v>
      </c>
      <c r="P35" s="137">
        <f t="shared" si="4"/>
        <v>-9.1093220521842877E-4</v>
      </c>
      <c r="R35" s="136">
        <v>2430.52661132812</v>
      </c>
      <c r="S35" s="137">
        <f t="shared" si="5"/>
        <v>-5.2501104118933828E-3</v>
      </c>
    </row>
    <row r="36" spans="2:19" x14ac:dyDescent="0.35">
      <c r="B36" s="131">
        <v>45229</v>
      </c>
      <c r="C36" s="136">
        <v>19230.599609375</v>
      </c>
      <c r="D36" s="137">
        <f t="shared" si="0"/>
        <v>9.6260409967319216E-3</v>
      </c>
      <c r="F36" s="136">
        <v>2353.9755859375</v>
      </c>
      <c r="G36" s="137">
        <f t="shared" si="1"/>
        <v>-2.4068956219682747E-3</v>
      </c>
      <c r="H36" s="130"/>
      <c r="I36" s="136">
        <v>380.07113647460898</v>
      </c>
      <c r="J36" s="137">
        <f t="shared" si="2"/>
        <v>3.2991404657422452E-2</v>
      </c>
      <c r="K36" s="130"/>
      <c r="L36" s="136">
        <v>7.0909218788146902</v>
      </c>
      <c r="M36" s="137">
        <f t="shared" si="3"/>
        <v>6.4515950007766332E-3</v>
      </c>
      <c r="N36" s="130"/>
      <c r="O36" s="136">
        <v>996.34796142578102</v>
      </c>
      <c r="P36" s="137">
        <f t="shared" si="4"/>
        <v>3.3882031351187392E-2</v>
      </c>
      <c r="R36" s="136">
        <v>2457.16162109375</v>
      </c>
      <c r="S36" s="137">
        <f t="shared" si="5"/>
        <v>1.0958534517371943E-2</v>
      </c>
    </row>
    <row r="37" spans="2:19" x14ac:dyDescent="0.35">
      <c r="B37" s="131">
        <v>45236</v>
      </c>
      <c r="C37" s="136">
        <v>19425.349609375</v>
      </c>
      <c r="D37" s="137">
        <f t="shared" si="0"/>
        <v>1.0127089324092564E-2</v>
      </c>
      <c r="F37" s="136">
        <v>2381.28247070312</v>
      </c>
      <c r="G37" s="137">
        <f t="shared" si="1"/>
        <v>1.1600326243292214E-2</v>
      </c>
      <c r="H37" s="130"/>
      <c r="I37" s="136">
        <v>402.91094970703102</v>
      </c>
      <c r="J37" s="137">
        <f t="shared" si="2"/>
        <v>6.009352208187968E-2</v>
      </c>
      <c r="K37" s="130"/>
      <c r="L37" s="136">
        <v>6.6818299293518004</v>
      </c>
      <c r="M37" s="137">
        <f t="shared" si="3"/>
        <v>-5.769235036774556E-2</v>
      </c>
      <c r="N37" s="130"/>
      <c r="O37" s="136">
        <v>960.81640625</v>
      </c>
      <c r="P37" s="137">
        <f t="shared" si="4"/>
        <v>-3.5661793420980303E-2</v>
      </c>
      <c r="R37" s="136">
        <v>2452.79125976562</v>
      </c>
      <c r="S37" s="137">
        <f t="shared" si="5"/>
        <v>-1.7786218418081035E-3</v>
      </c>
    </row>
    <row r="38" spans="2:19" x14ac:dyDescent="0.35">
      <c r="B38" s="131">
        <v>45243</v>
      </c>
      <c r="C38" s="136">
        <v>19731.80078125</v>
      </c>
      <c r="D38" s="137">
        <f t="shared" si="0"/>
        <v>1.5775838172153334E-2</v>
      </c>
      <c r="F38" s="136">
        <v>2404.55029296875</v>
      </c>
      <c r="G38" s="137">
        <f t="shared" si="1"/>
        <v>9.7711307045231788E-3</v>
      </c>
      <c r="H38" s="130"/>
      <c r="I38" s="136">
        <v>416.64682006835898</v>
      </c>
      <c r="J38" s="137">
        <f t="shared" si="2"/>
        <v>3.4091578725561344E-2</v>
      </c>
      <c r="K38" s="130"/>
      <c r="L38" s="136">
        <v>6.8636488914489702</v>
      </c>
      <c r="M38" s="137">
        <f t="shared" si="3"/>
        <v>2.7210953289678708E-2</v>
      </c>
      <c r="N38" s="130"/>
      <c r="O38" s="136">
        <v>977.97985839843705</v>
      </c>
      <c r="P38" s="137">
        <f t="shared" si="4"/>
        <v>1.7863404534717242E-2</v>
      </c>
      <c r="R38" s="136">
        <v>2494.4677734375</v>
      </c>
      <c r="S38" s="137">
        <f t="shared" si="5"/>
        <v>1.6991463707295873E-2</v>
      </c>
    </row>
    <row r="39" spans="2:19" x14ac:dyDescent="0.35">
      <c r="B39" s="131">
        <v>45250</v>
      </c>
      <c r="C39" s="136">
        <v>19794.69921875</v>
      </c>
      <c r="D39" s="137">
        <f t="shared" si="0"/>
        <v>3.1876683835045938E-3</v>
      </c>
      <c r="F39" s="136">
        <v>2381.45532226562</v>
      </c>
      <c r="G39" s="137">
        <f t="shared" si="1"/>
        <v>-9.6046943874132928E-3</v>
      </c>
      <c r="H39" s="130"/>
      <c r="I39" s="136">
        <v>426.50946044921801</v>
      </c>
      <c r="J39" s="137">
        <f t="shared" si="2"/>
        <v>2.3671464429371847E-2</v>
      </c>
      <c r="K39" s="130"/>
      <c r="L39" s="136">
        <v>7.6818318367004297</v>
      </c>
      <c r="M39" s="137">
        <f t="shared" si="3"/>
        <v>0.11920524464338311</v>
      </c>
      <c r="N39" s="130"/>
      <c r="O39" s="136">
        <v>990.29107666015602</v>
      </c>
      <c r="P39" s="137">
        <f t="shared" si="4"/>
        <v>1.2588416986296647E-2</v>
      </c>
      <c r="R39" s="136">
        <v>2481.05249023437</v>
      </c>
      <c r="S39" s="137">
        <f t="shared" si="5"/>
        <v>-5.3780142385415619E-3</v>
      </c>
    </row>
    <row r="40" spans="2:19" x14ac:dyDescent="0.35">
      <c r="B40" s="131">
        <v>45257</v>
      </c>
      <c r="C40" s="136">
        <v>20267.900390625</v>
      </c>
      <c r="D40" s="137">
        <f t="shared" si="0"/>
        <v>2.3905448961142772E-2</v>
      </c>
      <c r="F40" s="136">
        <v>2401.15185546875</v>
      </c>
      <c r="G40" s="137">
        <f t="shared" si="1"/>
        <v>8.2707968606321458E-3</v>
      </c>
      <c r="H40" s="130"/>
      <c r="I40" s="136">
        <v>434.854736328125</v>
      </c>
      <c r="J40" s="137">
        <f t="shared" si="2"/>
        <v>1.9566449640102679E-2</v>
      </c>
      <c r="K40" s="130"/>
      <c r="L40" s="136">
        <v>7.6363768577575604</v>
      </c>
      <c r="M40" s="137">
        <f t="shared" si="3"/>
        <v>-5.9172056755663061E-3</v>
      </c>
      <c r="N40" s="130"/>
      <c r="O40" s="136">
        <v>1005.88854980468</v>
      </c>
      <c r="P40" s="137">
        <f t="shared" si="4"/>
        <v>1.5750392497858146E-2</v>
      </c>
      <c r="R40" s="136">
        <v>2528.84448242187</v>
      </c>
      <c r="S40" s="137">
        <f t="shared" si="5"/>
        <v>1.9262789632872757E-2</v>
      </c>
    </row>
    <row r="41" spans="2:19" x14ac:dyDescent="0.35">
      <c r="B41" s="131">
        <v>45264</v>
      </c>
      <c r="C41" s="136">
        <v>20969.400390625</v>
      </c>
      <c r="D41" s="137">
        <f t="shared" si="0"/>
        <v>3.4611379890365113E-2</v>
      </c>
      <c r="F41" s="136">
        <v>2445.64575195312</v>
      </c>
      <c r="G41" s="137">
        <f t="shared" si="1"/>
        <v>1.8530230140602288E-2</v>
      </c>
      <c r="H41" s="130"/>
      <c r="I41" s="136">
        <v>426.0302734375</v>
      </c>
      <c r="J41" s="137">
        <f t="shared" si="2"/>
        <v>-2.0292898187422304E-2</v>
      </c>
      <c r="K41" s="130"/>
      <c r="L41" s="136">
        <v>7.5909233093261701</v>
      </c>
      <c r="M41" s="137">
        <f t="shared" si="3"/>
        <v>-5.9522400842770828E-3</v>
      </c>
      <c r="N41" s="130"/>
      <c r="O41" s="136">
        <v>1002.11175537109</v>
      </c>
      <c r="P41" s="137">
        <f t="shared" si="4"/>
        <v>-3.7546847852313325E-3</v>
      </c>
      <c r="R41" s="136">
        <v>2488.05590820312</v>
      </c>
      <c r="S41" s="137">
        <f t="shared" si="5"/>
        <v>-1.6129332785101425E-2</v>
      </c>
    </row>
    <row r="42" spans="2:19" x14ac:dyDescent="0.35">
      <c r="B42" s="131">
        <v>45271</v>
      </c>
      <c r="C42" s="136">
        <v>21456.650390625</v>
      </c>
      <c r="D42" s="137">
        <f t="shared" si="0"/>
        <v>2.3236239039903017E-2</v>
      </c>
      <c r="F42" s="136">
        <v>2403.89453125</v>
      </c>
      <c r="G42" s="137">
        <f t="shared" si="1"/>
        <v>-1.7071655070967307E-2</v>
      </c>
      <c r="H42" s="130"/>
      <c r="I42" s="136">
        <v>438.82778930664</v>
      </c>
      <c r="J42" s="137">
        <f t="shared" si="2"/>
        <v>3.0038982361232147E-2</v>
      </c>
      <c r="K42" s="130"/>
      <c r="L42" s="136">
        <v>7.6363768577575604</v>
      </c>
      <c r="M42" s="137">
        <f t="shared" si="3"/>
        <v>5.9878813919178597E-3</v>
      </c>
      <c r="N42" s="130"/>
      <c r="O42" s="136">
        <v>1022.3198852539</v>
      </c>
      <c r="P42" s="137">
        <f t="shared" si="4"/>
        <v>2.0165545184455791E-2</v>
      </c>
      <c r="R42" s="136">
        <v>2488.64794921875</v>
      </c>
      <c r="S42" s="137">
        <f t="shared" si="5"/>
        <v>2.3795326048658971E-4</v>
      </c>
    </row>
    <row r="43" spans="2:19" x14ac:dyDescent="0.35">
      <c r="B43" s="131">
        <v>45278</v>
      </c>
      <c r="C43" s="136">
        <v>21349.400390625</v>
      </c>
      <c r="D43" s="137">
        <f t="shared" si="0"/>
        <v>-4.9984502728748215E-3</v>
      </c>
      <c r="F43" s="136">
        <v>2502.7529296875</v>
      </c>
      <c r="G43" s="137">
        <f t="shared" si="1"/>
        <v>4.1124266124144215E-2</v>
      </c>
      <c r="H43" s="130"/>
      <c r="I43" s="136">
        <v>494.56967163085898</v>
      </c>
      <c r="J43" s="137">
        <f t="shared" si="2"/>
        <v>0.12702450410511301</v>
      </c>
      <c r="K43" s="130"/>
      <c r="L43" s="136">
        <v>7.8181962966918901</v>
      </c>
      <c r="M43" s="137">
        <f t="shared" si="3"/>
        <v>2.3809647208495877E-2</v>
      </c>
      <c r="N43" s="130"/>
      <c r="O43" s="136">
        <v>1053.80895996093</v>
      </c>
      <c r="P43" s="137">
        <f t="shared" si="4"/>
        <v>3.0801586823491656E-2</v>
      </c>
      <c r="R43" s="136">
        <v>2540.63232421875</v>
      </c>
      <c r="S43" s="137">
        <f t="shared" si="5"/>
        <v>2.0888601385470773E-2</v>
      </c>
    </row>
    <row r="44" spans="2:19" x14ac:dyDescent="0.35">
      <c r="B44" s="131">
        <v>45285</v>
      </c>
      <c r="C44" s="136">
        <v>21731.400390625</v>
      </c>
      <c r="D44" s="137">
        <f t="shared" si="0"/>
        <v>1.7892774176821558E-2</v>
      </c>
      <c r="F44" s="136">
        <v>2622.30932617187</v>
      </c>
      <c r="G44" s="137">
        <f t="shared" si="1"/>
        <v>4.7769955662102959E-2</v>
      </c>
      <c r="H44" s="130"/>
      <c r="I44" s="136">
        <v>493.890869140625</v>
      </c>
      <c r="J44" s="137">
        <f t="shared" si="2"/>
        <v>-1.3725113551658064E-3</v>
      </c>
      <c r="K44" s="130"/>
      <c r="L44" s="136">
        <v>7.6363768577575604</v>
      </c>
      <c r="M44" s="137">
        <f t="shared" si="3"/>
        <v>-2.3255931679697417E-2</v>
      </c>
      <c r="N44" s="130"/>
      <c r="O44" s="136">
        <v>1109.67529296875</v>
      </c>
      <c r="P44" s="137">
        <f t="shared" si="4"/>
        <v>5.3013719877549104E-2</v>
      </c>
      <c r="R44" s="136">
        <v>2627.78271484375</v>
      </c>
      <c r="S44" s="137">
        <f t="shared" si="5"/>
        <v>3.4302637888305565E-2</v>
      </c>
    </row>
    <row r="45" spans="2:19" x14ac:dyDescent="0.35">
      <c r="B45" s="131">
        <v>45292</v>
      </c>
      <c r="C45" s="136">
        <v>21710.80078125</v>
      </c>
      <c r="D45" s="137">
        <f t="shared" si="0"/>
        <v>-9.4791909424696286E-4</v>
      </c>
      <c r="F45" s="136">
        <v>2630.56665039062</v>
      </c>
      <c r="G45" s="137">
        <f t="shared" si="1"/>
        <v>3.148874976852678E-3</v>
      </c>
      <c r="H45" s="130"/>
      <c r="I45" s="136">
        <v>510.76116943359301</v>
      </c>
      <c r="J45" s="137">
        <f t="shared" si="2"/>
        <v>3.4157951375619611E-2</v>
      </c>
      <c r="K45" s="130"/>
      <c r="L45" s="136">
        <v>8.0909233093261701</v>
      </c>
      <c r="M45" s="137">
        <f t="shared" si="3"/>
        <v>5.9523837028400362E-2</v>
      </c>
      <c r="N45" s="130"/>
      <c r="O45" s="136">
        <v>1196.63854980468</v>
      </c>
      <c r="P45" s="137">
        <f t="shared" si="4"/>
        <v>7.8368201389141801E-2</v>
      </c>
      <c r="R45" s="136">
        <v>2584.47875976562</v>
      </c>
      <c r="S45" s="137">
        <f t="shared" si="5"/>
        <v>-1.6479275410982708E-2</v>
      </c>
    </row>
    <row r="46" spans="2:19" x14ac:dyDescent="0.35">
      <c r="B46" s="131">
        <v>45299</v>
      </c>
      <c r="C46" s="136">
        <v>21894.55078125</v>
      </c>
      <c r="D46" s="137">
        <f t="shared" si="0"/>
        <v>8.4635293673134271E-3</v>
      </c>
      <c r="F46" s="136">
        <v>2515.33642578125</v>
      </c>
      <c r="G46" s="137">
        <f t="shared" si="1"/>
        <v>-4.3804335690281415E-2</v>
      </c>
      <c r="H46" s="130"/>
      <c r="I46" s="136">
        <v>505.13107299804602</v>
      </c>
      <c r="J46" s="137">
        <f t="shared" si="2"/>
        <v>-1.102295313833368E-2</v>
      </c>
      <c r="K46" s="130"/>
      <c r="L46" s="136">
        <v>7.8636503219604403</v>
      </c>
      <c r="M46" s="137">
        <f t="shared" si="3"/>
        <v>-2.8089870423534835E-2</v>
      </c>
      <c r="N46" s="130"/>
      <c r="O46" s="136">
        <v>1133.51281738281</v>
      </c>
      <c r="P46" s="137">
        <f t="shared" si="4"/>
        <v>-5.2752547903603508E-2</v>
      </c>
      <c r="R46" s="136">
        <v>2509.46142578125</v>
      </c>
      <c r="S46" s="137">
        <f t="shared" si="5"/>
        <v>-2.9026098086862628E-2</v>
      </c>
    </row>
    <row r="47" spans="2:19" x14ac:dyDescent="0.35">
      <c r="B47" s="131">
        <v>45306</v>
      </c>
      <c r="C47" s="136">
        <v>21622.400390625</v>
      </c>
      <c r="D47" s="137">
        <f t="shared" si="0"/>
        <v>-1.2430051355886373E-2</v>
      </c>
      <c r="F47" s="136">
        <v>2480.36279296875</v>
      </c>
      <c r="G47" s="137">
        <f t="shared" si="1"/>
        <v>-1.3904157095660619E-2</v>
      </c>
      <c r="H47" s="130"/>
      <c r="I47" s="136">
        <v>506.04946899414</v>
      </c>
      <c r="J47" s="137">
        <f t="shared" si="2"/>
        <v>1.8181340352774189E-3</v>
      </c>
      <c r="K47" s="130"/>
      <c r="L47" s="136">
        <v>7.7272868156433097</v>
      </c>
      <c r="M47" s="137">
        <f t="shared" si="3"/>
        <v>-1.7340993143644123E-2</v>
      </c>
      <c r="N47" s="130"/>
      <c r="O47" s="136">
        <v>1127.3818359375</v>
      </c>
      <c r="P47" s="137">
        <f t="shared" si="4"/>
        <v>-5.4088329230065346E-3</v>
      </c>
      <c r="R47" s="136">
        <v>2530.57080078125</v>
      </c>
      <c r="S47" s="137">
        <f t="shared" si="5"/>
        <v>8.4119145180436838E-3</v>
      </c>
    </row>
    <row r="48" spans="2:19" x14ac:dyDescent="0.35">
      <c r="B48" s="131">
        <v>45313</v>
      </c>
      <c r="C48" s="136">
        <v>21352.599609375</v>
      </c>
      <c r="D48" s="137">
        <f t="shared" si="0"/>
        <v>-1.247783670526148E-2</v>
      </c>
      <c r="F48" s="136">
        <v>2448.79296875</v>
      </c>
      <c r="G48" s="137">
        <f t="shared" si="1"/>
        <v>-1.2727905896767644E-2</v>
      </c>
      <c r="H48" s="130"/>
      <c r="I48" s="136">
        <v>502.07647705078102</v>
      </c>
      <c r="J48" s="137">
        <f t="shared" si="2"/>
        <v>-7.85099518285437E-3</v>
      </c>
      <c r="K48" s="130"/>
      <c r="L48" s="136">
        <v>7.3181948661804199</v>
      </c>
      <c r="M48" s="137">
        <f t="shared" si="3"/>
        <v>-5.2941214584492191E-2</v>
      </c>
      <c r="N48" s="130"/>
      <c r="O48" s="136">
        <v>1135.27880859375</v>
      </c>
      <c r="P48" s="137">
        <f t="shared" si="4"/>
        <v>7.0047009846341268E-3</v>
      </c>
      <c r="R48" s="136">
        <v>2395.33203125</v>
      </c>
      <c r="S48" s="137">
        <f t="shared" si="5"/>
        <v>-5.3442001895184443E-2</v>
      </c>
    </row>
    <row r="49" spans="2:19" x14ac:dyDescent="0.35">
      <c r="B49" s="131">
        <v>45320</v>
      </c>
      <c r="C49" s="136">
        <v>21853.80078125</v>
      </c>
      <c r="D49" s="137">
        <f t="shared" si="0"/>
        <v>2.3472606663543782E-2</v>
      </c>
      <c r="F49" s="136">
        <v>2448.052734375</v>
      </c>
      <c r="G49" s="137">
        <f t="shared" si="1"/>
        <v>-3.0228540527776904E-4</v>
      </c>
      <c r="H49" s="130"/>
      <c r="I49" s="136">
        <v>513.39654541015602</v>
      </c>
      <c r="J49" s="137">
        <f t="shared" si="2"/>
        <v>2.2546502130252222E-2</v>
      </c>
      <c r="K49" s="130"/>
      <c r="L49" s="136">
        <v>7.3181948661804199</v>
      </c>
      <c r="M49" s="137">
        <f t="shared" si="3"/>
        <v>0</v>
      </c>
      <c r="N49" s="130"/>
      <c r="O49" s="136">
        <v>1213.31506347656</v>
      </c>
      <c r="P49" s="137">
        <f t="shared" si="4"/>
        <v>6.8737524467203048E-2</v>
      </c>
      <c r="R49" s="136">
        <v>2419.30249023437</v>
      </c>
      <c r="S49" s="137">
        <f t="shared" si="5"/>
        <v>1.0007155029718717E-2</v>
      </c>
    </row>
    <row r="50" spans="2:19" x14ac:dyDescent="0.35">
      <c r="B50" s="131">
        <v>45327</v>
      </c>
      <c r="C50" s="136">
        <v>21782.5</v>
      </c>
      <c r="D50" s="137">
        <f t="shared" si="0"/>
        <v>-3.2626261199916184E-3</v>
      </c>
      <c r="F50" s="136">
        <v>2417.17358398437</v>
      </c>
      <c r="G50" s="137">
        <f t="shared" si="1"/>
        <v>-1.2613760298964105E-2</v>
      </c>
      <c r="H50" s="130"/>
      <c r="I50" s="136">
        <v>547.037353515625</v>
      </c>
      <c r="J50" s="137">
        <f t="shared" si="2"/>
        <v>6.5525972868775595E-2</v>
      </c>
      <c r="K50" s="130"/>
      <c r="L50" s="136">
        <v>7.6818318367004297</v>
      </c>
      <c r="M50" s="137">
        <f t="shared" si="3"/>
        <v>4.9689435327895604E-2</v>
      </c>
      <c r="N50" s="130"/>
      <c r="O50" s="136">
        <v>1195.46142578125</v>
      </c>
      <c r="P50" s="137">
        <f t="shared" si="4"/>
        <v>-1.4714758130632055E-2</v>
      </c>
      <c r="R50" s="136">
        <v>2391.23852539062</v>
      </c>
      <c r="S50" s="137">
        <f t="shared" si="5"/>
        <v>-1.1600023129406778E-2</v>
      </c>
    </row>
    <row r="51" spans="2:19" x14ac:dyDescent="0.35">
      <c r="B51" s="131">
        <v>45334</v>
      </c>
      <c r="C51" s="136">
        <v>22040.69921875</v>
      </c>
      <c r="D51" s="137">
        <f t="shared" si="0"/>
        <v>1.1853516297486433E-2</v>
      </c>
      <c r="F51" s="136">
        <v>2454.21875</v>
      </c>
      <c r="G51" s="137">
        <f t="shared" si="1"/>
        <v>1.5325819486478931E-2</v>
      </c>
      <c r="H51" s="130"/>
      <c r="I51" s="136">
        <v>568.22003173828102</v>
      </c>
      <c r="J51" s="137">
        <f t="shared" si="2"/>
        <v>3.8722544423195338E-2</v>
      </c>
      <c r="K51" s="130"/>
      <c r="L51" s="136">
        <v>7.5454683303832999</v>
      </c>
      <c r="M51" s="137">
        <f t="shared" si="3"/>
        <v>-1.7751430806600688E-2</v>
      </c>
      <c r="N51" s="130"/>
      <c r="O51" s="136">
        <v>1217.72937011718</v>
      </c>
      <c r="P51" s="137">
        <f t="shared" si="4"/>
        <v>1.8627070565139903E-2</v>
      </c>
      <c r="R51" s="136">
        <v>2343.00244140625</v>
      </c>
      <c r="S51" s="137">
        <f t="shared" si="5"/>
        <v>-2.0172008552133192E-2</v>
      </c>
    </row>
    <row r="52" spans="2:19" x14ac:dyDescent="0.35">
      <c r="B52" s="131">
        <v>45341</v>
      </c>
      <c r="C52" s="136">
        <v>22212.69921875</v>
      </c>
      <c r="D52" s="137">
        <f t="shared" si="0"/>
        <v>7.8037451667449798E-3</v>
      </c>
      <c r="F52" s="136">
        <v>2551.52294921875</v>
      </c>
      <c r="G52" s="137">
        <f t="shared" si="1"/>
        <v>3.9647728719679032E-2</v>
      </c>
      <c r="H52" s="130"/>
      <c r="I52" s="136">
        <v>604.73577880859295</v>
      </c>
      <c r="J52" s="137">
        <f t="shared" si="2"/>
        <v>6.4263392754043025E-2</v>
      </c>
      <c r="K52" s="130"/>
      <c r="L52" s="136">
        <v>6.9545578956604004</v>
      </c>
      <c r="M52" s="137">
        <f t="shared" si="3"/>
        <v>-7.831328803587756E-2</v>
      </c>
      <c r="N52" s="130"/>
      <c r="O52" s="136">
        <v>1227.14660644531</v>
      </c>
      <c r="P52" s="137">
        <f t="shared" si="4"/>
        <v>7.7334394318040456E-3</v>
      </c>
      <c r="R52" s="136">
        <v>2361.5966796875</v>
      </c>
      <c r="S52" s="137">
        <f t="shared" si="5"/>
        <v>7.936072943265815E-3</v>
      </c>
    </row>
    <row r="53" spans="2:19" x14ac:dyDescent="0.35">
      <c r="B53" s="131">
        <v>45348</v>
      </c>
      <c r="C53" s="136">
        <v>22338.75</v>
      </c>
      <c r="D53" s="137">
        <f t="shared" si="0"/>
        <v>5.6747169719741919E-3</v>
      </c>
      <c r="F53" s="136">
        <v>2573.73364257812</v>
      </c>
      <c r="G53" s="137">
        <f t="shared" si="1"/>
        <v>8.7048769701134621E-3</v>
      </c>
      <c r="H53" s="130"/>
      <c r="I53" s="136">
        <v>566.14373779296795</v>
      </c>
      <c r="J53" s="137">
        <f t="shared" si="2"/>
        <v>-6.3816368020520042E-2</v>
      </c>
      <c r="K53" s="130"/>
      <c r="L53" s="136">
        <v>6.4545569419860804</v>
      </c>
      <c r="M53" s="137">
        <f t="shared" si="3"/>
        <v>-7.18954333511721E-2</v>
      </c>
      <c r="N53" s="130"/>
      <c r="O53" s="136">
        <v>1243.33276367187</v>
      </c>
      <c r="P53" s="137">
        <f t="shared" si="4"/>
        <v>1.3190076182866717E-2</v>
      </c>
      <c r="R53" s="136">
        <v>2376.98486328125</v>
      </c>
      <c r="S53" s="137">
        <f t="shared" si="5"/>
        <v>6.5160083117097312E-3</v>
      </c>
    </row>
    <row r="54" spans="2:19" x14ac:dyDescent="0.35">
      <c r="B54" s="131">
        <v>45355</v>
      </c>
      <c r="C54" s="136">
        <v>22493.55078125</v>
      </c>
      <c r="D54" s="137">
        <f t="shared" si="0"/>
        <v>6.9296975546975226E-3</v>
      </c>
      <c r="F54" s="136">
        <v>2533.66528320312</v>
      </c>
      <c r="G54" s="137">
        <f t="shared" si="1"/>
        <v>-1.5568184178866074E-2</v>
      </c>
      <c r="H54" s="130"/>
      <c r="I54" s="136">
        <v>568.33990478515602</v>
      </c>
      <c r="J54" s="137">
        <f t="shared" si="2"/>
        <v>3.8791685672432408E-3</v>
      </c>
      <c r="K54" s="130"/>
      <c r="L54" s="136">
        <v>6.4545569419860804</v>
      </c>
      <c r="M54" s="137">
        <f t="shared" si="3"/>
        <v>0</v>
      </c>
      <c r="N54" s="130"/>
      <c r="O54" s="136">
        <v>1210.76452636718</v>
      </c>
      <c r="P54" s="137">
        <f t="shared" si="4"/>
        <v>-2.6194304739873386E-2</v>
      </c>
      <c r="R54" s="136">
        <v>2386.701171875</v>
      </c>
      <c r="S54" s="137">
        <f t="shared" si="5"/>
        <v>4.0876611138100927E-3</v>
      </c>
    </row>
    <row r="55" spans="2:19" x14ac:dyDescent="0.35">
      <c r="B55" s="131">
        <v>45362</v>
      </c>
      <c r="C55" s="136">
        <v>22023.349609375</v>
      </c>
      <c r="D55" s="137">
        <f t="shared" si="0"/>
        <v>-2.0903821564132397E-2</v>
      </c>
      <c r="F55" s="136">
        <v>2575.91015625</v>
      </c>
      <c r="G55" s="137">
        <f t="shared" si="1"/>
        <v>1.6673423015637345E-2</v>
      </c>
      <c r="H55" s="130"/>
      <c r="I55" s="136">
        <v>572.67218017578102</v>
      </c>
      <c r="J55" s="137">
        <f t="shared" si="2"/>
        <v>7.6226838097224192E-3</v>
      </c>
      <c r="K55" s="130"/>
      <c r="L55" s="136">
        <v>6.4091029167175204</v>
      </c>
      <c r="M55" s="137">
        <f t="shared" si="3"/>
        <v>-7.0421603956868362E-3</v>
      </c>
      <c r="N55" s="130"/>
      <c r="O55" s="136">
        <v>1189.62438964843</v>
      </c>
      <c r="P55" s="137">
        <f t="shared" si="4"/>
        <v>-1.7460155346787021E-2</v>
      </c>
      <c r="R55" s="136">
        <v>2296.09790039062</v>
      </c>
      <c r="S55" s="137">
        <f t="shared" si="5"/>
        <v>-3.7961715757319436E-2</v>
      </c>
    </row>
    <row r="56" spans="2:19" x14ac:dyDescent="0.35">
      <c r="B56" s="131">
        <v>45369</v>
      </c>
      <c r="C56" s="136">
        <v>22096.75</v>
      </c>
      <c r="D56" s="137">
        <f t="shared" si="0"/>
        <v>3.332844091697762E-3</v>
      </c>
      <c r="F56" s="136">
        <v>2545.982421875</v>
      </c>
      <c r="G56" s="137">
        <f t="shared" si="1"/>
        <v>-1.161831452171791E-2</v>
      </c>
      <c r="H56" s="130"/>
      <c r="I56" s="136">
        <v>559.97454833984295</v>
      </c>
      <c r="J56" s="137">
        <f t="shared" si="2"/>
        <v>-2.2172601141617454E-2</v>
      </c>
      <c r="K56" s="130"/>
      <c r="L56" s="136">
        <v>6.3636474609375</v>
      </c>
      <c r="M56" s="137">
        <f t="shared" si="3"/>
        <v>-7.0923273304683843E-3</v>
      </c>
      <c r="N56" s="130"/>
      <c r="O56" s="136">
        <v>1198.404296875</v>
      </c>
      <c r="P56" s="137">
        <f t="shared" si="4"/>
        <v>7.3804028422490564E-3</v>
      </c>
      <c r="R56" s="136">
        <v>2225.9140625</v>
      </c>
      <c r="S56" s="137">
        <f t="shared" si="5"/>
        <v>-3.0566570301153173E-2</v>
      </c>
    </row>
    <row r="57" spans="2:19" x14ac:dyDescent="0.35">
      <c r="B57" s="131">
        <v>45376</v>
      </c>
      <c r="C57" s="136">
        <v>22326.900390625</v>
      </c>
      <c r="D57" s="137">
        <f t="shared" si="0"/>
        <v>1.0415576527091019E-2</v>
      </c>
      <c r="F57" s="136">
        <v>2594.4111328125</v>
      </c>
      <c r="G57" s="137">
        <f t="shared" si="1"/>
        <v>1.9021620307116738E-2</v>
      </c>
      <c r="H57" s="130"/>
      <c r="I57" s="136">
        <v>558.45721435546795</v>
      </c>
      <c r="J57" s="137">
        <f t="shared" si="2"/>
        <v>-2.7096481239610171E-3</v>
      </c>
      <c r="K57" s="130"/>
      <c r="L57" s="136">
        <v>6.1818294525146396</v>
      </c>
      <c r="M57" s="137">
        <f t="shared" si="3"/>
        <v>-2.8571351499109388E-2</v>
      </c>
      <c r="N57" s="130"/>
      <c r="O57" s="136">
        <v>1227.98059082031</v>
      </c>
      <c r="P57" s="137">
        <f t="shared" si="4"/>
        <v>2.4679729555738605E-2</v>
      </c>
      <c r="R57" s="136">
        <v>2233.60815429687</v>
      </c>
      <c r="S57" s="137">
        <f t="shared" si="5"/>
        <v>3.4565987638481843E-3</v>
      </c>
    </row>
    <row r="58" spans="2:19" x14ac:dyDescent="0.35">
      <c r="B58" s="131">
        <v>45383</v>
      </c>
      <c r="C58" s="136">
        <v>22513.69921875</v>
      </c>
      <c r="D58" s="137">
        <f t="shared" si="0"/>
        <v>8.3665365481468967E-3</v>
      </c>
      <c r="F58" s="136">
        <v>2510.61328125</v>
      </c>
      <c r="G58" s="137">
        <f t="shared" si="1"/>
        <v>-3.2299372486756961E-2</v>
      </c>
      <c r="H58" s="130"/>
      <c r="I58" s="136">
        <v>596.45037841796795</v>
      </c>
      <c r="J58" s="137">
        <f t="shared" si="2"/>
        <v>6.8032363242632732E-2</v>
      </c>
      <c r="K58" s="130"/>
      <c r="L58" s="136">
        <v>6.2727389335632298</v>
      </c>
      <c r="M58" s="137">
        <f t="shared" si="3"/>
        <v>1.470591865189852E-2</v>
      </c>
      <c r="N58" s="130"/>
      <c r="O58" s="136">
        <v>1187.07409667968</v>
      </c>
      <c r="P58" s="137">
        <f t="shared" si="4"/>
        <v>-3.3312003826790004E-2</v>
      </c>
      <c r="R58" s="136">
        <v>2236.1728515625</v>
      </c>
      <c r="S58" s="137">
        <f t="shared" si="5"/>
        <v>1.1482306154264599E-3</v>
      </c>
    </row>
    <row r="59" spans="2:19" x14ac:dyDescent="0.35">
      <c r="B59" s="131">
        <v>45390</v>
      </c>
      <c r="C59" s="136">
        <v>22519.400390625</v>
      </c>
      <c r="D59" s="137">
        <f t="shared" si="0"/>
        <v>2.5323123577369877E-4</v>
      </c>
      <c r="F59" s="136">
        <v>2509.17895507812</v>
      </c>
      <c r="G59" s="137">
        <f t="shared" si="1"/>
        <v>-5.7130510006930812E-4</v>
      </c>
      <c r="H59" s="130"/>
      <c r="I59" s="136">
        <v>553.3662109375</v>
      </c>
      <c r="J59" s="137">
        <f t="shared" si="2"/>
        <v>-7.223428643761598E-2</v>
      </c>
      <c r="K59" s="130"/>
      <c r="L59" s="136">
        <v>6.4545569419860804</v>
      </c>
      <c r="M59" s="137">
        <f t="shared" si="3"/>
        <v>2.8985425720494451E-2</v>
      </c>
      <c r="N59" s="130"/>
      <c r="O59" s="136">
        <v>1176.9208984375</v>
      </c>
      <c r="P59" s="137">
        <f t="shared" si="4"/>
        <v>-8.5531293038734191E-3</v>
      </c>
      <c r="R59" s="136">
        <v>2201.9931640625</v>
      </c>
      <c r="S59" s="137">
        <f t="shared" si="5"/>
        <v>-1.528490406102434E-2</v>
      </c>
    </row>
    <row r="60" spans="2:19" x14ac:dyDescent="0.35">
      <c r="B60" s="131">
        <v>45397</v>
      </c>
      <c r="C60" s="136">
        <v>22147</v>
      </c>
      <c r="D60" s="137">
        <f t="shared" si="0"/>
        <v>-1.6536869728557835E-2</v>
      </c>
      <c r="F60" s="136">
        <v>2411.72827148437</v>
      </c>
      <c r="G60" s="137">
        <f t="shared" si="1"/>
        <v>-3.8837677717855734E-2</v>
      </c>
      <c r="H60" s="130"/>
      <c r="I60" s="136">
        <v>557.458984375</v>
      </c>
      <c r="J60" s="137">
        <f t="shared" si="2"/>
        <v>7.3961390424726048E-3</v>
      </c>
      <c r="K60" s="130"/>
      <c r="L60" s="136">
        <v>6.2272839546203604</v>
      </c>
      <c r="M60" s="137">
        <f t="shared" si="3"/>
        <v>-3.5211245234717525E-2</v>
      </c>
      <c r="N60" s="130"/>
      <c r="O60" s="136">
        <v>1146.60900878906</v>
      </c>
      <c r="P60" s="137">
        <f t="shared" si="4"/>
        <v>-2.5755248027868771E-2</v>
      </c>
      <c r="R60" s="136">
        <v>2201.302734375</v>
      </c>
      <c r="S60" s="137">
        <f t="shared" si="5"/>
        <v>-3.1354760712620777E-4</v>
      </c>
    </row>
    <row r="61" spans="2:19" x14ac:dyDescent="0.35">
      <c r="B61" s="131">
        <v>45404</v>
      </c>
      <c r="C61" s="136">
        <v>22419.94921875</v>
      </c>
      <c r="D61" s="137">
        <f t="shared" si="0"/>
        <v>1.2324433049623051E-2</v>
      </c>
      <c r="F61" s="136">
        <v>2456.29833984375</v>
      </c>
      <c r="G61" s="137">
        <f t="shared" si="1"/>
        <v>1.8480551431255599E-2</v>
      </c>
      <c r="H61" s="130"/>
      <c r="I61" s="136">
        <v>582.85430908203102</v>
      </c>
      <c r="J61" s="137">
        <f t="shared" si="2"/>
        <v>4.555550348785431E-2</v>
      </c>
      <c r="K61" s="130"/>
      <c r="L61" s="136">
        <v>6.4091029167175204</v>
      </c>
      <c r="M61" s="137">
        <f t="shared" si="3"/>
        <v>2.9197152951770944E-2</v>
      </c>
      <c r="N61" s="130"/>
      <c r="O61" s="136">
        <v>1179.61865234375</v>
      </c>
      <c r="P61" s="137">
        <f t="shared" si="4"/>
        <v>2.8788927438788914E-2</v>
      </c>
      <c r="R61" s="136">
        <v>2192.47412109375</v>
      </c>
      <c r="S61" s="137">
        <f t="shared" si="5"/>
        <v>-4.0106311337303469E-3</v>
      </c>
    </row>
    <row r="62" spans="2:19" x14ac:dyDescent="0.35">
      <c r="B62" s="131">
        <v>45411</v>
      </c>
      <c r="C62" s="136">
        <v>22475.849609375</v>
      </c>
      <c r="D62" s="137">
        <f t="shared" si="0"/>
        <v>2.4933326155016644E-3</v>
      </c>
      <c r="F62" s="136">
        <v>2429.93237304687</v>
      </c>
      <c r="G62" s="137">
        <f t="shared" si="1"/>
        <v>-1.0734024596766645E-2</v>
      </c>
      <c r="H62" s="130"/>
      <c r="I62" s="136">
        <v>601.62127685546795</v>
      </c>
      <c r="J62" s="137">
        <f t="shared" si="2"/>
        <v>3.2198385567388188E-2</v>
      </c>
      <c r="K62" s="130"/>
      <c r="L62" s="136">
        <v>5.9545559883117596</v>
      </c>
      <c r="M62" s="137">
        <f t="shared" si="3"/>
        <v>-7.0922082904944395E-2</v>
      </c>
      <c r="N62" s="130"/>
      <c r="O62" s="136">
        <v>1227.39184570312</v>
      </c>
      <c r="P62" s="137">
        <f t="shared" si="4"/>
        <v>4.0498845338237777E-2</v>
      </c>
      <c r="R62" s="136">
        <v>2186.9501953125</v>
      </c>
      <c r="S62" s="137">
        <f t="shared" si="5"/>
        <v>-2.5194941769686174E-3</v>
      </c>
    </row>
    <row r="63" spans="2:19" x14ac:dyDescent="0.35">
      <c r="B63" s="131">
        <v>45418</v>
      </c>
      <c r="C63" s="136">
        <v>22055.19921875</v>
      </c>
      <c r="D63" s="137">
        <f t="shared" si="0"/>
        <v>-1.8715661384811066E-2</v>
      </c>
      <c r="F63" s="136">
        <v>2506.2109375</v>
      </c>
      <c r="G63" s="137">
        <f t="shared" si="1"/>
        <v>3.1391229360628214E-2</v>
      </c>
      <c r="H63" s="130"/>
      <c r="I63" s="136">
        <v>584.291748046875</v>
      </c>
      <c r="J63" s="137">
        <f t="shared" si="2"/>
        <v>-2.8804713987461206E-2</v>
      </c>
      <c r="K63" s="130"/>
      <c r="L63" s="136">
        <v>6.0562200546264604</v>
      </c>
      <c r="M63" s="137">
        <f t="shared" si="3"/>
        <v>1.7073324445056492E-2</v>
      </c>
      <c r="N63" s="130"/>
      <c r="O63" s="136">
        <v>1295.81469726562</v>
      </c>
      <c r="P63" s="137">
        <f t="shared" si="4"/>
        <v>5.5746542395597842E-2</v>
      </c>
      <c r="R63" s="136">
        <v>2330.47509765625</v>
      </c>
      <c r="S63" s="137">
        <f t="shared" si="5"/>
        <v>6.5627878792750227E-2</v>
      </c>
    </row>
    <row r="64" spans="2:19" x14ac:dyDescent="0.35">
      <c r="B64" s="131">
        <v>45425</v>
      </c>
      <c r="C64" s="136">
        <v>22466.099609375</v>
      </c>
      <c r="D64" s="137">
        <f t="shared" si="0"/>
        <v>1.8630545412424926E-2</v>
      </c>
      <c r="F64" s="136">
        <v>2477.7177734375</v>
      </c>
      <c r="G64" s="137">
        <f t="shared" si="1"/>
        <v>-1.1369020714163236E-2</v>
      </c>
      <c r="H64" s="130"/>
      <c r="I64" s="136">
        <v>601.84094238281205</v>
      </c>
      <c r="J64" s="137">
        <f t="shared" si="2"/>
        <v>3.0034985766270283E-2</v>
      </c>
      <c r="K64" s="130"/>
      <c r="L64" s="136">
        <v>5.7087321281433097</v>
      </c>
      <c r="M64" s="137">
        <f t="shared" si="3"/>
        <v>-5.7377031109973942E-2</v>
      </c>
      <c r="N64" s="130"/>
      <c r="O64" s="136">
        <v>1274.67492675781</v>
      </c>
      <c r="P64" s="137">
        <f t="shared" si="4"/>
        <v>-1.6313883885109792E-2</v>
      </c>
      <c r="R64" s="136">
        <v>2295.55541992187</v>
      </c>
      <c r="S64" s="137">
        <f t="shared" si="5"/>
        <v>-1.498393086006311E-2</v>
      </c>
    </row>
    <row r="65" spans="2:19" x14ac:dyDescent="0.35">
      <c r="B65" s="131">
        <v>45432</v>
      </c>
      <c r="C65" s="136">
        <v>22957.099609375</v>
      </c>
      <c r="D65" s="137">
        <f t="shared" si="0"/>
        <v>2.1855151029202657E-2</v>
      </c>
      <c r="F65" s="136">
        <v>2441.45825195312</v>
      </c>
      <c r="G65" s="137">
        <f t="shared" si="1"/>
        <v>-1.463424199200658E-2</v>
      </c>
      <c r="H65" s="130"/>
      <c r="I65" s="136">
        <v>598.26721191406205</v>
      </c>
      <c r="J65" s="137">
        <f t="shared" si="2"/>
        <v>-5.937998260139743E-3</v>
      </c>
      <c r="K65" s="130"/>
      <c r="L65" s="136">
        <v>5.36124420166015</v>
      </c>
      <c r="M65" s="137">
        <f t="shared" si="3"/>
        <v>-6.0869544880217674E-2</v>
      </c>
      <c r="N65" s="130"/>
      <c r="O65" s="136">
        <v>1295.09362792968</v>
      </c>
      <c r="P65" s="137">
        <f t="shared" si="4"/>
        <v>1.6018751717197244E-2</v>
      </c>
      <c r="R65" s="136">
        <v>2336.88671875</v>
      </c>
      <c r="S65" s="137">
        <f t="shared" si="5"/>
        <v>1.800492310899493E-2</v>
      </c>
    </row>
    <row r="66" spans="2:19" x14ac:dyDescent="0.35">
      <c r="B66" s="131">
        <v>45439</v>
      </c>
      <c r="C66" s="136">
        <v>22530.69921875</v>
      </c>
      <c r="D66" s="137">
        <f t="shared" si="0"/>
        <v>-1.8573791893592317E-2</v>
      </c>
      <c r="F66" s="136">
        <v>2329.81030273437</v>
      </c>
      <c r="G66" s="137">
        <f t="shared" si="1"/>
        <v>-4.5730025950447395E-2</v>
      </c>
      <c r="H66" s="130"/>
      <c r="I66" s="136">
        <v>569.71740722656205</v>
      </c>
      <c r="J66" s="137">
        <f t="shared" si="2"/>
        <v>-4.7720824606381829E-2</v>
      </c>
      <c r="K66" s="130"/>
      <c r="L66" s="136">
        <v>5.1130380630493102</v>
      </c>
      <c r="M66" s="137">
        <f t="shared" si="3"/>
        <v>-4.6296368767156926E-2</v>
      </c>
      <c r="N66" s="130"/>
      <c r="O66" s="136">
        <v>1255.55932617187</v>
      </c>
      <c r="P66" s="137">
        <f t="shared" si="4"/>
        <v>-3.0526211314164997E-2</v>
      </c>
      <c r="R66" s="136">
        <v>2297.4296875</v>
      </c>
      <c r="S66" s="137">
        <f t="shared" si="5"/>
        <v>-1.688444327806593E-2</v>
      </c>
    </row>
    <row r="67" spans="2:19" x14ac:dyDescent="0.35">
      <c r="B67" s="131">
        <v>45446</v>
      </c>
      <c r="C67" s="136">
        <v>23290.150390625</v>
      </c>
      <c r="D67" s="137">
        <f t="shared" si="0"/>
        <v>3.3707394719600492E-2</v>
      </c>
      <c r="F67" s="136">
        <v>2475.78833007812</v>
      </c>
      <c r="G67" s="137">
        <f t="shared" si="1"/>
        <v>6.265661507824194E-2</v>
      </c>
      <c r="H67" s="130"/>
      <c r="I67" s="136">
        <v>606.37292480468705</v>
      </c>
      <c r="J67" s="137">
        <f t="shared" si="2"/>
        <v>6.4339823767308513E-2</v>
      </c>
      <c r="K67" s="130"/>
      <c r="L67" s="136">
        <v>5.0137562751770002</v>
      </c>
      <c r="M67" s="137">
        <f t="shared" si="3"/>
        <v>-1.9417377036520689E-2</v>
      </c>
      <c r="N67" s="130"/>
      <c r="O67" s="136">
        <v>1411.27490234375</v>
      </c>
      <c r="P67" s="137">
        <f t="shared" si="4"/>
        <v>0.12402088290534863</v>
      </c>
      <c r="R67" s="136">
        <v>2542.80249023437</v>
      </c>
      <c r="S67" s="137">
        <f t="shared" si="5"/>
        <v>0.10680318273477951</v>
      </c>
    </row>
    <row r="68" spans="2:19" x14ac:dyDescent="0.35">
      <c r="B68" s="131">
        <v>45453</v>
      </c>
      <c r="C68" s="136">
        <v>23465.599609375</v>
      </c>
      <c r="D68" s="137">
        <f t="shared" si="0"/>
        <v>7.5331938955887079E-3</v>
      </c>
      <c r="F68" s="136">
        <v>2515.41186523437</v>
      </c>
      <c r="G68" s="137">
        <f t="shared" si="1"/>
        <v>1.600441147365772E-2</v>
      </c>
      <c r="H68" s="130"/>
      <c r="I68" s="136">
        <v>654.54815673828102</v>
      </c>
      <c r="J68" s="137">
        <f t="shared" si="2"/>
        <v>7.9448190977707611E-2</v>
      </c>
      <c r="K68" s="130"/>
      <c r="L68" s="136">
        <v>4.5471291542053196</v>
      </c>
      <c r="M68" s="137">
        <f t="shared" si="3"/>
        <v>-9.3069366630751715E-2</v>
      </c>
      <c r="N68" s="130"/>
      <c r="O68" s="136">
        <v>1376.73181152343</v>
      </c>
      <c r="P68" s="137">
        <f t="shared" si="4"/>
        <v>-2.447651464853029E-2</v>
      </c>
      <c r="R68" s="136">
        <v>2446.08374023437</v>
      </c>
      <c r="S68" s="137">
        <f t="shared" si="5"/>
        <v>-3.8036280981888382E-2</v>
      </c>
    </row>
    <row r="69" spans="2:19" x14ac:dyDescent="0.35">
      <c r="B69" s="131">
        <v>45460</v>
      </c>
      <c r="C69" s="136">
        <v>23501.099609375</v>
      </c>
      <c r="D69" s="137">
        <f t="shared" si="0"/>
        <v>1.5128528821319875E-3</v>
      </c>
      <c r="F69" s="136">
        <v>2471.78149414062</v>
      </c>
      <c r="G69" s="137">
        <f t="shared" si="1"/>
        <v>-1.7345219562954095E-2</v>
      </c>
      <c r="H69" s="130"/>
      <c r="I69" s="136">
        <v>636.30023193359295</v>
      </c>
      <c r="J69" s="137">
        <f t="shared" si="2"/>
        <v>-2.7878658914296528E-2</v>
      </c>
      <c r="K69" s="130"/>
      <c r="L69" s="136">
        <v>4.6861243247985804</v>
      </c>
      <c r="M69" s="137">
        <f t="shared" si="3"/>
        <v>3.0567675973028896E-2</v>
      </c>
      <c r="N69" s="130"/>
      <c r="O69" s="136">
        <v>1341.05224609375</v>
      </c>
      <c r="P69" s="137">
        <f t="shared" si="4"/>
        <v>-2.5916133506204475E-2</v>
      </c>
      <c r="R69" s="136">
        <v>2431.61743164062</v>
      </c>
      <c r="S69" s="137">
        <f t="shared" si="5"/>
        <v>-5.9140692347531276E-3</v>
      </c>
    </row>
    <row r="70" spans="2:19" x14ac:dyDescent="0.35">
      <c r="B70" s="131">
        <v>45467</v>
      </c>
      <c r="C70" s="136">
        <v>24010.599609375</v>
      </c>
      <c r="D70" s="137">
        <f t="shared" si="0"/>
        <v>2.1679836623336168E-2</v>
      </c>
      <c r="F70" s="136">
        <v>2524.46411132812</v>
      </c>
      <c r="G70" s="137">
        <f t="shared" si="1"/>
        <v>2.1313622305363378E-2</v>
      </c>
      <c r="H70" s="130"/>
      <c r="I70" s="136">
        <v>650.65496826171795</v>
      </c>
      <c r="J70" s="137">
        <f t="shared" si="2"/>
        <v>2.2559690548129785E-2</v>
      </c>
      <c r="K70" s="130"/>
      <c r="L70" s="136">
        <v>4.6464114189147896</v>
      </c>
      <c r="M70" s="137">
        <f t="shared" si="3"/>
        <v>-8.4745736841921326E-3</v>
      </c>
      <c r="N70" s="130"/>
      <c r="O70" s="136">
        <v>1359.83093261718</v>
      </c>
      <c r="P70" s="137">
        <f t="shared" si="4"/>
        <v>1.4002949234922735E-2</v>
      </c>
      <c r="R70" s="136">
        <v>2463.24145507812</v>
      </c>
      <c r="S70" s="137">
        <f t="shared" si="5"/>
        <v>1.3005344930498763E-2</v>
      </c>
    </row>
    <row r="71" spans="2:19" x14ac:dyDescent="0.35">
      <c r="B71" s="131">
        <v>45474</v>
      </c>
      <c r="C71" s="136">
        <v>24323.849609375</v>
      </c>
      <c r="D71" s="137">
        <f t="shared" si="0"/>
        <v>1.3046321420381757E-2</v>
      </c>
      <c r="F71" s="136">
        <v>2546.724609375</v>
      </c>
      <c r="G71" s="137">
        <f t="shared" si="1"/>
        <v>8.8179102832119938E-3</v>
      </c>
      <c r="H71" s="130"/>
      <c r="I71" s="136">
        <v>644.52575683593705</v>
      </c>
      <c r="J71" s="137">
        <f t="shared" si="2"/>
        <v>-9.4200639736228275E-3</v>
      </c>
      <c r="K71" s="130"/>
      <c r="L71" s="136">
        <v>4.7456936836242596</v>
      </c>
      <c r="M71" s="137">
        <f t="shared" si="3"/>
        <v>2.1367514789006448E-2</v>
      </c>
      <c r="N71" s="130"/>
      <c r="O71" s="136">
        <v>1357.80493164062</v>
      </c>
      <c r="P71" s="137">
        <f t="shared" si="4"/>
        <v>-1.4898918151984297E-3</v>
      </c>
      <c r="R71" s="136">
        <v>2536.89819335937</v>
      </c>
      <c r="S71" s="137">
        <f t="shared" si="5"/>
        <v>2.9902362242808955E-2</v>
      </c>
    </row>
    <row r="72" spans="2:19" x14ac:dyDescent="0.35">
      <c r="B72" s="131">
        <v>45481</v>
      </c>
      <c r="C72" s="136">
        <v>24502.150390625</v>
      </c>
      <c r="D72" s="137">
        <f t="shared" si="0"/>
        <v>7.3302862874664587E-3</v>
      </c>
      <c r="F72" s="136">
        <v>2581.203125</v>
      </c>
      <c r="G72" s="137">
        <f t="shared" si="1"/>
        <v>1.353837611576747E-2</v>
      </c>
      <c r="H72" s="130"/>
      <c r="I72" s="136">
        <v>632.68664550781205</v>
      </c>
      <c r="J72" s="137">
        <f t="shared" si="2"/>
        <v>-1.8368717157627334E-2</v>
      </c>
      <c r="K72" s="130"/>
      <c r="L72" s="136">
        <v>4.7059803009033203</v>
      </c>
      <c r="M72" s="137">
        <f t="shared" si="3"/>
        <v>-8.3682987922242269E-3</v>
      </c>
      <c r="N72" s="130"/>
      <c r="O72" s="136">
        <v>1427.08862304687</v>
      </c>
      <c r="P72" s="137">
        <f t="shared" si="4"/>
        <v>5.1026248168457577E-2</v>
      </c>
      <c r="R72" s="136">
        <v>2611.84985351562</v>
      </c>
      <c r="S72" s="137">
        <f t="shared" si="5"/>
        <v>2.9544607013574531E-2</v>
      </c>
    </row>
    <row r="73" spans="2:19" x14ac:dyDescent="0.35">
      <c r="B73" s="131">
        <v>45488</v>
      </c>
      <c r="C73" s="136">
        <v>24530.900390625</v>
      </c>
      <c r="D73" s="137">
        <f t="shared" si="0"/>
        <v>1.1733664001589705E-3</v>
      </c>
      <c r="F73" s="136">
        <v>2570.17211914062</v>
      </c>
      <c r="G73" s="137">
        <f t="shared" si="1"/>
        <v>-4.2735907734421374E-3</v>
      </c>
      <c r="H73" s="130"/>
      <c r="I73" s="136">
        <v>622.78405761718705</v>
      </c>
      <c r="J73" s="137">
        <f t="shared" si="2"/>
        <v>-1.5651646768483518E-2</v>
      </c>
      <c r="K73" s="130"/>
      <c r="L73" s="136">
        <v>4.4677033424377397</v>
      </c>
      <c r="M73" s="137">
        <f t="shared" si="3"/>
        <v>-5.0632799805779727E-2</v>
      </c>
      <c r="N73" s="130"/>
      <c r="O73" s="136">
        <v>1434.99560546875</v>
      </c>
      <c r="P73" s="137">
        <f t="shared" si="4"/>
        <v>5.5406386780649797E-3</v>
      </c>
      <c r="R73" s="136">
        <v>2716.18432617187</v>
      </c>
      <c r="S73" s="137">
        <f t="shared" si="5"/>
        <v>3.994658135337037E-2</v>
      </c>
    </row>
    <row r="74" spans="2:19" x14ac:dyDescent="0.35">
      <c r="B74" s="131">
        <v>45495</v>
      </c>
      <c r="C74" s="136">
        <v>24834.849609375</v>
      </c>
      <c r="D74" s="137">
        <f t="shared" ref="D74:D113" si="6">C74/C73-1</f>
        <v>1.2390463208034497E-2</v>
      </c>
      <c r="F74" s="136">
        <v>2461.13891601562</v>
      </c>
      <c r="G74" s="137">
        <f t="shared" ref="G74:G113" si="7">F74/F73-1</f>
        <v>-4.2422529725930191E-2</v>
      </c>
      <c r="H74" s="130"/>
      <c r="I74" s="136">
        <v>669.48181152343705</v>
      </c>
      <c r="J74" s="137">
        <f t="shared" ref="J74:J113" si="8">I74/I73-1</f>
        <v>7.4982256425957239E-2</v>
      </c>
      <c r="K74" s="130"/>
      <c r="L74" s="136">
        <v>4.2691388130187899</v>
      </c>
      <c r="M74" s="137">
        <f t="shared" ref="M74:M113" si="9">L74/L73-1</f>
        <v>-4.4444430213803288E-2</v>
      </c>
      <c r="N74" s="130"/>
      <c r="O74" s="136">
        <v>1450.41381835937</v>
      </c>
      <c r="P74" s="137">
        <f t="shared" ref="P74:P113" si="10">O74/O73-1</f>
        <v>1.0744432130566306E-2</v>
      </c>
      <c r="R74" s="136">
        <v>2700.29760742187</v>
      </c>
      <c r="S74" s="137">
        <f t="shared" ref="S74:S113" si="11">R74/R73-1</f>
        <v>-5.8489103986512081E-3</v>
      </c>
    </row>
    <row r="75" spans="2:19" x14ac:dyDescent="0.35">
      <c r="B75" s="131">
        <v>45502</v>
      </c>
      <c r="C75" s="136">
        <v>24717.69921875</v>
      </c>
      <c r="D75" s="137">
        <f t="shared" si="6"/>
        <v>-4.7171773724281607E-3</v>
      </c>
      <c r="F75" s="136">
        <v>2479.22338867187</v>
      </c>
      <c r="G75" s="137">
        <f t="shared" si="7"/>
        <v>7.3480097115068421E-3</v>
      </c>
      <c r="H75" s="130"/>
      <c r="I75" s="136">
        <v>627.835205078125</v>
      </c>
      <c r="J75" s="137">
        <f t="shared" si="8"/>
        <v>-6.2207226138889848E-2</v>
      </c>
      <c r="K75" s="130"/>
      <c r="L75" s="136">
        <v>4.3485646247863698</v>
      </c>
      <c r="M75" s="137">
        <f t="shared" si="9"/>
        <v>1.8604644928707836E-2</v>
      </c>
      <c r="N75" s="130"/>
      <c r="O75" s="136">
        <v>1442.1611328125</v>
      </c>
      <c r="P75" s="137">
        <f t="shared" si="10"/>
        <v>-5.6898834266519982E-3</v>
      </c>
      <c r="R75" s="136">
        <v>2681.87109375</v>
      </c>
      <c r="S75" s="137">
        <f t="shared" si="11"/>
        <v>-6.8238825310306117E-3</v>
      </c>
    </row>
    <row r="76" spans="2:19" x14ac:dyDescent="0.35">
      <c r="B76" s="131">
        <v>45509</v>
      </c>
      <c r="C76" s="136">
        <v>24367.5</v>
      </c>
      <c r="D76" s="137">
        <f t="shared" si="6"/>
        <v>-1.4167953726225035E-2</v>
      </c>
      <c r="F76" s="136">
        <v>2488.76220703125</v>
      </c>
      <c r="G76" s="137">
        <f t="shared" si="7"/>
        <v>3.847502569943817E-3</v>
      </c>
      <c r="H76" s="130"/>
      <c r="I76" s="136">
        <v>602.37994384765602</v>
      </c>
      <c r="J76" s="137">
        <f t="shared" si="8"/>
        <v>-4.054449483650957E-2</v>
      </c>
      <c r="K76" s="130"/>
      <c r="L76" s="136">
        <v>4.16985607147216</v>
      </c>
      <c r="M76" s="137">
        <f t="shared" si="9"/>
        <v>-4.1095986545902852E-2</v>
      </c>
      <c r="N76" s="130"/>
      <c r="O76" s="136">
        <v>1427.97827148437</v>
      </c>
      <c r="P76" s="137">
        <f t="shared" si="10"/>
        <v>-9.8344498443599937E-3</v>
      </c>
      <c r="R76" s="136">
        <v>2736.30419921875</v>
      </c>
      <c r="S76" s="137">
        <f t="shared" si="11"/>
        <v>2.0296689723680039E-2</v>
      </c>
    </row>
    <row r="77" spans="2:19" x14ac:dyDescent="0.35">
      <c r="B77" s="131">
        <v>45516</v>
      </c>
      <c r="C77" s="136">
        <v>24541.150390625</v>
      </c>
      <c r="D77" s="137">
        <f t="shared" si="6"/>
        <v>7.126311300913013E-3</v>
      </c>
      <c r="F77" s="136">
        <v>2509.38012695312</v>
      </c>
      <c r="G77" s="137">
        <f t="shared" si="7"/>
        <v>8.2844073506180838E-3</v>
      </c>
      <c r="H77" s="130"/>
      <c r="I77" s="136">
        <v>568.21771240234295</v>
      </c>
      <c r="J77" s="137">
        <f t="shared" si="8"/>
        <v>-5.6712099720824694E-2</v>
      </c>
      <c r="K77" s="130"/>
      <c r="L77" s="136">
        <v>4.1499996185302699</v>
      </c>
      <c r="M77" s="137">
        <f t="shared" si="9"/>
        <v>-4.7619036728238084E-3</v>
      </c>
      <c r="N77" s="130"/>
      <c r="O77" s="136">
        <v>1388.69104003906</v>
      </c>
      <c r="P77" s="137">
        <f t="shared" si="10"/>
        <v>-2.7512485469734282E-2</v>
      </c>
      <c r="R77" s="136">
        <v>2737.35009765625</v>
      </c>
      <c r="S77" s="137">
        <f t="shared" si="11"/>
        <v>3.8223032285622516E-4</v>
      </c>
    </row>
    <row r="78" spans="2:19" x14ac:dyDescent="0.35">
      <c r="B78" s="131">
        <v>45523</v>
      </c>
      <c r="C78" s="136">
        <v>24823.150390625</v>
      </c>
      <c r="D78" s="137">
        <f t="shared" si="6"/>
        <v>1.1490903870086111E-2</v>
      </c>
      <c r="F78" s="136">
        <v>2513.10620117187</v>
      </c>
      <c r="G78" s="137">
        <f t="shared" si="7"/>
        <v>1.484858423292934E-3</v>
      </c>
      <c r="H78" s="130"/>
      <c r="I78" s="136">
        <v>632.25891113281205</v>
      </c>
      <c r="J78" s="137">
        <f t="shared" si="8"/>
        <v>0.1127053897347059</v>
      </c>
      <c r="K78" s="130"/>
      <c r="L78" s="136">
        <v>4.4478468894958496</v>
      </c>
      <c r="M78" s="137">
        <f t="shared" si="9"/>
        <v>7.1770433335861972E-2</v>
      </c>
      <c r="N78" s="130"/>
      <c r="O78" s="136">
        <v>1416.88671875</v>
      </c>
      <c r="P78" s="137">
        <f t="shared" si="10"/>
        <v>2.0303780969269436E-2</v>
      </c>
      <c r="R78" s="136">
        <v>2804.43310546875</v>
      </c>
      <c r="S78" s="137">
        <f t="shared" si="11"/>
        <v>2.4506550283771578E-2</v>
      </c>
    </row>
    <row r="79" spans="2:19" x14ac:dyDescent="0.35">
      <c r="B79" s="131">
        <v>45530</v>
      </c>
      <c r="C79" s="136">
        <v>25235.900390625</v>
      </c>
      <c r="D79" s="137">
        <f t="shared" si="6"/>
        <v>1.6627623549180237E-2</v>
      </c>
      <c r="F79" s="136">
        <v>2484.83740234375</v>
      </c>
      <c r="G79" s="137">
        <f t="shared" si="7"/>
        <v>-1.1248549231599569E-2</v>
      </c>
      <c r="H79" s="130"/>
      <c r="I79" s="136">
        <v>599.80871582031205</v>
      </c>
      <c r="J79" s="137">
        <f t="shared" si="8"/>
        <v>-5.1324219779456004E-2</v>
      </c>
      <c r="K79" s="130"/>
      <c r="L79" s="136">
        <v>4.3485646247863698</v>
      </c>
      <c r="M79" s="137">
        <f t="shared" si="9"/>
        <v>-2.2321421392437646E-2</v>
      </c>
      <c r="N79" s="130"/>
      <c r="O79" s="136">
        <v>1469.3125</v>
      </c>
      <c r="P79" s="137">
        <f t="shared" si="10"/>
        <v>3.7000686474251809E-2</v>
      </c>
      <c r="R79" s="136">
        <v>2766.98193359375</v>
      </c>
      <c r="S79" s="137">
        <f t="shared" si="11"/>
        <v>-1.3354275344264366E-2</v>
      </c>
    </row>
    <row r="80" spans="2:19" x14ac:dyDescent="0.35">
      <c r="B80" s="131">
        <v>45537</v>
      </c>
      <c r="C80" s="136">
        <v>24852.150390625</v>
      </c>
      <c r="D80" s="137">
        <f t="shared" si="6"/>
        <v>-1.5206511123437516E-2</v>
      </c>
      <c r="F80" s="136">
        <v>2487.27172851562</v>
      </c>
      <c r="G80" s="137">
        <f t="shared" si="7"/>
        <v>9.7967221902472978E-4</v>
      </c>
      <c r="H80" s="130"/>
      <c r="I80" s="136">
        <v>596.75152587890602</v>
      </c>
      <c r="J80" s="137">
        <f t="shared" si="8"/>
        <v>-5.0969415094692661E-3</v>
      </c>
      <c r="K80" s="130"/>
      <c r="L80" s="136">
        <v>5.3116025924682599</v>
      </c>
      <c r="M80" s="137">
        <f t="shared" si="9"/>
        <v>0.2214611143623515</v>
      </c>
      <c r="N80" s="130"/>
      <c r="O80" s="136">
        <v>1431.86547851562</v>
      </c>
      <c r="P80" s="137">
        <f t="shared" si="10"/>
        <v>-2.5486083787063629E-2</v>
      </c>
      <c r="R80" s="136">
        <v>2827.69018554687</v>
      </c>
      <c r="S80" s="137">
        <f t="shared" si="11"/>
        <v>2.194024153756291E-2</v>
      </c>
    </row>
    <row r="81" spans="2:19" x14ac:dyDescent="0.35">
      <c r="B81" s="131">
        <v>45544</v>
      </c>
      <c r="C81" s="136">
        <v>25356.5</v>
      </c>
      <c r="D81" s="137">
        <f t="shared" si="6"/>
        <v>2.0294002790408605E-2</v>
      </c>
      <c r="F81" s="136">
        <v>2515.29223632812</v>
      </c>
      <c r="G81" s="137">
        <f t="shared" si="7"/>
        <v>1.126555956522779E-2</v>
      </c>
      <c r="H81" s="130"/>
      <c r="I81" s="136">
        <v>646.05621337890602</v>
      </c>
      <c r="J81" s="137">
        <f t="shared" si="8"/>
        <v>8.2621803819241446E-2</v>
      </c>
      <c r="K81" s="130"/>
      <c r="L81" s="136">
        <v>5.1130380630493102</v>
      </c>
      <c r="M81" s="137">
        <f t="shared" si="9"/>
        <v>-3.7383167502122672E-2</v>
      </c>
      <c r="N81" s="130"/>
      <c r="O81" s="136">
        <v>1479.33166503906</v>
      </c>
      <c r="P81" s="137">
        <f t="shared" si="10"/>
        <v>3.3149892385594182E-2</v>
      </c>
      <c r="R81" s="136">
        <v>2921.3173828125</v>
      </c>
      <c r="S81" s="137">
        <f t="shared" si="11"/>
        <v>3.3110839986709051E-2</v>
      </c>
    </row>
    <row r="82" spans="2:19" x14ac:dyDescent="0.35">
      <c r="B82" s="131">
        <v>45551</v>
      </c>
      <c r="C82" s="136">
        <v>25790.94921875</v>
      </c>
      <c r="D82" s="137">
        <f t="shared" si="6"/>
        <v>1.7133643000808441E-2</v>
      </c>
      <c r="F82" s="136">
        <v>2682.37231445312</v>
      </c>
      <c r="G82" s="137">
        <f t="shared" si="7"/>
        <v>6.6425712174465801E-2</v>
      </c>
      <c r="H82" s="130"/>
      <c r="I82" s="136">
        <v>653.84906005859295</v>
      </c>
      <c r="J82" s="137">
        <f t="shared" si="8"/>
        <v>1.2062180532139699E-2</v>
      </c>
      <c r="K82" s="130"/>
      <c r="L82" s="136">
        <v>5.1626791954040501</v>
      </c>
      <c r="M82" s="137">
        <f t="shared" si="9"/>
        <v>9.7087351477949113E-3</v>
      </c>
      <c r="N82" s="130"/>
      <c r="O82" s="136">
        <v>1444.91003417968</v>
      </c>
      <c r="P82" s="137">
        <f t="shared" si="10"/>
        <v>-2.3268366163493925E-2</v>
      </c>
      <c r="R82" s="136">
        <v>2965.79052734375</v>
      </c>
      <c r="S82" s="137">
        <f t="shared" si="11"/>
        <v>1.5223660665187211E-2</v>
      </c>
    </row>
    <row r="83" spans="2:19" x14ac:dyDescent="0.35">
      <c r="B83" s="131">
        <v>45558</v>
      </c>
      <c r="C83" s="136">
        <v>26178.94921875</v>
      </c>
      <c r="D83" s="137">
        <f t="shared" si="6"/>
        <v>1.5044037220542705E-2</v>
      </c>
      <c r="F83" s="136">
        <v>2728.22875976562</v>
      </c>
      <c r="G83" s="137">
        <f t="shared" si="7"/>
        <v>1.7095481140114943E-2</v>
      </c>
      <c r="H83" s="130"/>
      <c r="I83" s="136">
        <v>607.99114990234295</v>
      </c>
      <c r="J83" s="137">
        <f t="shared" si="8"/>
        <v>-7.0135315560659439E-2</v>
      </c>
      <c r="K83" s="130"/>
      <c r="L83" s="136">
        <v>5.0137562751770002</v>
      </c>
      <c r="M83" s="137">
        <f t="shared" si="9"/>
        <v>-2.8846053490913182E-2</v>
      </c>
      <c r="N83" s="130"/>
      <c r="O83" s="136">
        <v>1377.50537109375</v>
      </c>
      <c r="P83" s="137">
        <f t="shared" si="10"/>
        <v>-4.6649730081082641E-2</v>
      </c>
      <c r="R83" s="136">
        <v>2954.4853515625</v>
      </c>
      <c r="S83" s="137">
        <f t="shared" si="11"/>
        <v>-3.8118591576240535E-3</v>
      </c>
    </row>
    <row r="84" spans="2:19" x14ac:dyDescent="0.35">
      <c r="B84" s="131">
        <v>45565</v>
      </c>
      <c r="C84" s="136">
        <v>25014.599609375</v>
      </c>
      <c r="D84" s="137">
        <f t="shared" si="6"/>
        <v>-4.4476560141728849E-2</v>
      </c>
      <c r="F84" s="136">
        <v>2581.61743164062</v>
      </c>
      <c r="G84" s="137">
        <f t="shared" si="7"/>
        <v>-5.3738649151105378E-2</v>
      </c>
      <c r="H84" s="130"/>
      <c r="I84" s="136">
        <v>578.368408203125</v>
      </c>
      <c r="J84" s="137">
        <f t="shared" si="8"/>
        <v>-4.8722323842996795E-2</v>
      </c>
      <c r="K84" s="130"/>
      <c r="L84" s="136">
        <v>4.8846888542175204</v>
      </c>
      <c r="M84" s="137">
        <f t="shared" si="9"/>
        <v>-2.5742659570129001E-2</v>
      </c>
      <c r="N84" s="130"/>
      <c r="O84" s="136">
        <v>1332.4697265625</v>
      </c>
      <c r="P84" s="137">
        <f t="shared" si="10"/>
        <v>-3.2693625358056755E-2</v>
      </c>
      <c r="R84" s="136">
        <v>2837.45141601562</v>
      </c>
      <c r="S84" s="137">
        <f t="shared" si="11"/>
        <v>-3.9612291692353696E-2</v>
      </c>
    </row>
    <row r="85" spans="2:19" x14ac:dyDescent="0.35">
      <c r="B85" s="131">
        <v>45572</v>
      </c>
      <c r="C85" s="136">
        <v>24964.25</v>
      </c>
      <c r="D85" s="137">
        <f t="shared" si="6"/>
        <v>-2.0128089260372795E-3</v>
      </c>
      <c r="F85" s="136">
        <v>2495.81713867187</v>
      </c>
      <c r="G85" s="137">
        <f t="shared" si="7"/>
        <v>-3.3235092046238535E-2</v>
      </c>
      <c r="H85" s="130"/>
      <c r="I85" s="136">
        <v>591.80603027343705</v>
      </c>
      <c r="J85" s="137">
        <f t="shared" si="8"/>
        <v>2.3233672309419529E-2</v>
      </c>
      <c r="K85" s="130"/>
      <c r="L85" s="136">
        <v>4.9442582130432102</v>
      </c>
      <c r="M85" s="137">
        <f t="shared" si="9"/>
        <v>1.2195118379803693E-2</v>
      </c>
      <c r="N85" s="130"/>
      <c r="O85" s="136">
        <v>1305.14074707031</v>
      </c>
      <c r="P85" s="137">
        <f t="shared" si="10"/>
        <v>-2.0510019062641827E-2</v>
      </c>
      <c r="R85" s="136">
        <v>2772.16137695312</v>
      </c>
      <c r="S85" s="137">
        <f t="shared" si="11"/>
        <v>-2.3010099377906212E-2</v>
      </c>
    </row>
    <row r="86" spans="2:19" x14ac:dyDescent="0.35">
      <c r="B86" s="131">
        <v>45579</v>
      </c>
      <c r="C86" s="136">
        <v>24854.05078125</v>
      </c>
      <c r="D86" s="137">
        <f t="shared" si="6"/>
        <v>-4.4142811720760955E-3</v>
      </c>
      <c r="F86" s="136">
        <v>2335.294921875</v>
      </c>
      <c r="G86" s="137">
        <f t="shared" si="7"/>
        <v>-6.4316497514834259E-2</v>
      </c>
      <c r="H86" s="130"/>
      <c r="I86" s="136">
        <v>588.20935058593705</v>
      </c>
      <c r="J86" s="137">
        <f t="shared" si="8"/>
        <v>-6.0774637356063588E-3</v>
      </c>
      <c r="K86" s="130"/>
      <c r="L86" s="136">
        <v>4.9045453071594203</v>
      </c>
      <c r="M86" s="137">
        <f t="shared" si="9"/>
        <v>-8.0321261901381558E-3</v>
      </c>
      <c r="N86" s="130"/>
      <c r="O86" s="136">
        <v>1325.4267578125</v>
      </c>
      <c r="P86" s="137">
        <f t="shared" si="10"/>
        <v>1.5543159454431743E-2</v>
      </c>
      <c r="R86" s="136">
        <v>2706.32373046875</v>
      </c>
      <c r="S86" s="137">
        <f t="shared" si="11"/>
        <v>-2.3749572096243621E-2</v>
      </c>
    </row>
    <row r="87" spans="2:19" x14ac:dyDescent="0.35">
      <c r="B87" s="131">
        <v>45586</v>
      </c>
      <c r="C87" s="136">
        <v>24180.80078125</v>
      </c>
      <c r="D87" s="137">
        <f t="shared" si="6"/>
        <v>-2.7088139713140946E-2</v>
      </c>
      <c r="F87" s="136">
        <v>2246.31469726562</v>
      </c>
      <c r="G87" s="137">
        <f t="shared" si="7"/>
        <v>-3.8102350061181234E-2</v>
      </c>
      <c r="H87" s="130"/>
      <c r="I87" s="136">
        <v>610.63879394531205</v>
      </c>
      <c r="J87" s="137">
        <f t="shared" si="8"/>
        <v>3.8131735473147854E-2</v>
      </c>
      <c r="K87" s="130"/>
      <c r="L87" s="136">
        <v>4.6265549659729004</v>
      </c>
      <c r="M87" s="137">
        <f t="shared" si="9"/>
        <v>-5.6680145411384553E-2</v>
      </c>
      <c r="N87" s="130"/>
      <c r="O87" s="136">
        <v>1280.88696289062</v>
      </c>
      <c r="P87" s="137">
        <f t="shared" si="10"/>
        <v>-3.3604116303936005E-2</v>
      </c>
      <c r="R87" s="136">
        <v>2518.0234375</v>
      </c>
      <c r="S87" s="137">
        <f t="shared" si="11"/>
        <v>-6.9577889314865971E-2</v>
      </c>
    </row>
    <row r="88" spans="2:19" x14ac:dyDescent="0.35">
      <c r="B88" s="131">
        <v>45593</v>
      </c>
      <c r="C88" s="136">
        <v>24304.349609375</v>
      </c>
      <c r="D88" s="137">
        <f t="shared" si="6"/>
        <v>5.1093770319137199E-3</v>
      </c>
      <c r="F88" s="136">
        <v>2267.77734375</v>
      </c>
      <c r="G88" s="137">
        <f t="shared" si="7"/>
        <v>9.5546035960616393E-3</v>
      </c>
      <c r="H88" s="130"/>
      <c r="I88" s="136">
        <v>607.94122314453102</v>
      </c>
      <c r="J88" s="137">
        <f t="shared" si="8"/>
        <v>-4.4176210675253014E-3</v>
      </c>
      <c r="K88" s="130"/>
      <c r="L88" s="136">
        <v>4.6662678718566797</v>
      </c>
      <c r="M88" s="137">
        <f t="shared" si="9"/>
        <v>8.5836883330809854E-3</v>
      </c>
      <c r="N88" s="130"/>
      <c r="O88" s="136">
        <v>1264.86657714843</v>
      </c>
      <c r="P88" s="137">
        <f t="shared" si="10"/>
        <v>-1.2507259583653063E-2</v>
      </c>
      <c r="R88" s="136">
        <v>2527.43579101562</v>
      </c>
      <c r="S88" s="137">
        <f t="shared" si="11"/>
        <v>3.7379928143024266E-3</v>
      </c>
    </row>
    <row r="89" spans="2:19" x14ac:dyDescent="0.35">
      <c r="B89" s="131">
        <v>45600</v>
      </c>
      <c r="C89" s="136">
        <v>24148.19921875</v>
      </c>
      <c r="D89" s="137">
        <f t="shared" si="6"/>
        <v>-6.424791987223899E-3</v>
      </c>
      <c r="F89" s="136">
        <v>2281.04223632812</v>
      </c>
      <c r="G89" s="137">
        <f t="shared" si="7"/>
        <v>5.8492923102340111E-3</v>
      </c>
      <c r="H89" s="130"/>
      <c r="I89" s="136">
        <v>591.00677490234295</v>
      </c>
      <c r="J89" s="137">
        <f t="shared" si="8"/>
        <v>-2.7855403775049026E-2</v>
      </c>
      <c r="K89" s="130"/>
      <c r="L89" s="136">
        <v>4.3684210777282697</v>
      </c>
      <c r="M89" s="137">
        <f t="shared" si="9"/>
        <v>-6.3829767666102377E-2</v>
      </c>
      <c r="N89" s="130"/>
      <c r="O89" s="136">
        <v>1245.80102539062</v>
      </c>
      <c r="P89" s="137">
        <f t="shared" si="10"/>
        <v>-1.5073172224055575E-2</v>
      </c>
      <c r="R89" s="136">
        <v>2497.75415039062</v>
      </c>
      <c r="S89" s="137">
        <f t="shared" si="11"/>
        <v>-1.1743776332720501E-2</v>
      </c>
    </row>
    <row r="90" spans="2:19" x14ac:dyDescent="0.35">
      <c r="B90" s="131">
        <v>45607</v>
      </c>
      <c r="C90" s="136">
        <v>23532.69921875</v>
      </c>
      <c r="D90" s="137">
        <f t="shared" si="6"/>
        <v>-2.5488443027341434E-2</v>
      </c>
      <c r="F90" s="136">
        <v>2168.91064453125</v>
      </c>
      <c r="G90" s="137">
        <f t="shared" si="7"/>
        <v>-4.9158051530590052E-2</v>
      </c>
      <c r="H90" s="130"/>
      <c r="I90" s="136">
        <v>575.12139892578102</v>
      </c>
      <c r="J90" s="137">
        <f t="shared" si="8"/>
        <v>-2.6878500638485625E-2</v>
      </c>
      <c r="K90" s="130"/>
      <c r="L90" s="136">
        <v>4.16985607147216</v>
      </c>
      <c r="M90" s="137">
        <f t="shared" si="9"/>
        <v>-4.5454639725200252E-2</v>
      </c>
      <c r="N90" s="130"/>
      <c r="O90" s="136">
        <v>1170.16967773437</v>
      </c>
      <c r="P90" s="137">
        <f t="shared" si="10"/>
        <v>-6.0709010600256796E-2</v>
      </c>
      <c r="R90" s="136">
        <v>2389.19995117187</v>
      </c>
      <c r="S90" s="137">
        <f t="shared" si="11"/>
        <v>-4.346072218587782E-2</v>
      </c>
    </row>
    <row r="91" spans="2:19" x14ac:dyDescent="0.35">
      <c r="B91" s="131">
        <v>45614</v>
      </c>
      <c r="C91" s="136">
        <v>23907.25</v>
      </c>
      <c r="D91" s="137">
        <f t="shared" si="6"/>
        <v>1.5916184444815906E-2</v>
      </c>
      <c r="F91" s="136">
        <v>2233.00024414062</v>
      </c>
      <c r="G91" s="137">
        <f t="shared" si="7"/>
        <v>2.9549211615041537E-2</v>
      </c>
      <c r="H91" s="130"/>
      <c r="I91" s="136">
        <v>615.833984375</v>
      </c>
      <c r="J91" s="137">
        <f t="shared" si="8"/>
        <v>7.0789550737048623E-2</v>
      </c>
      <c r="K91" s="130"/>
      <c r="L91" s="136">
        <v>4.1499996185302699</v>
      </c>
      <c r="M91" s="137">
        <f t="shared" si="9"/>
        <v>-4.7619036728238084E-3</v>
      </c>
      <c r="N91" s="130"/>
      <c r="O91" s="136">
        <v>1187.29748535156</v>
      </c>
      <c r="P91" s="137">
        <f t="shared" si="10"/>
        <v>1.4637029093380827E-2</v>
      </c>
      <c r="R91" s="136">
        <v>2445.25</v>
      </c>
      <c r="S91" s="137">
        <f t="shared" si="11"/>
        <v>2.3459756392778308E-2</v>
      </c>
    </row>
    <row r="92" spans="2:19" x14ac:dyDescent="0.35">
      <c r="B92" s="131">
        <v>45621</v>
      </c>
      <c r="C92" s="136">
        <v>24131.099609375</v>
      </c>
      <c r="D92" s="137">
        <f t="shared" si="6"/>
        <v>9.3632521254012335E-3</v>
      </c>
      <c r="F92" s="136">
        <v>2220.43041992187</v>
      </c>
      <c r="G92" s="137">
        <f t="shared" si="7"/>
        <v>-5.6291190525988855E-3</v>
      </c>
      <c r="H92" s="130"/>
      <c r="I92" s="136">
        <v>620.62957763671795</v>
      </c>
      <c r="J92" s="137">
        <f t="shared" si="8"/>
        <v>7.787152679767928E-3</v>
      </c>
      <c r="K92" s="130"/>
      <c r="L92" s="136">
        <v>4.1102867126464799</v>
      </c>
      <c r="M92" s="137">
        <f t="shared" si="9"/>
        <v>-9.5693757913776212E-3</v>
      </c>
      <c r="N92" s="130"/>
      <c r="O92" s="136">
        <v>1239.42785644531</v>
      </c>
      <c r="P92" s="137">
        <f t="shared" si="10"/>
        <v>4.3906747665951817E-2</v>
      </c>
      <c r="R92" s="136">
        <v>2496.14990234375</v>
      </c>
      <c r="S92" s="137">
        <f t="shared" si="11"/>
        <v>2.0815827561087907E-2</v>
      </c>
    </row>
    <row r="93" spans="2:19" x14ac:dyDescent="0.35">
      <c r="B93" s="131">
        <v>45628</v>
      </c>
      <c r="C93" s="136">
        <v>24677.80078125</v>
      </c>
      <c r="D93" s="137">
        <f t="shared" si="6"/>
        <v>2.2655460411037609E-2</v>
      </c>
      <c r="F93" s="136">
        <v>2253.36962890625</v>
      </c>
      <c r="G93" s="137">
        <f t="shared" si="7"/>
        <v>1.4834605348966079E-2</v>
      </c>
      <c r="H93" s="130"/>
      <c r="I93" s="136">
        <v>643.45855712890602</v>
      </c>
      <c r="J93" s="137">
        <f t="shared" si="8"/>
        <v>3.6783582856489083E-2</v>
      </c>
      <c r="K93" s="130"/>
      <c r="L93" s="136">
        <v>4.0399999618530202</v>
      </c>
      <c r="M93" s="137">
        <f t="shared" si="9"/>
        <v>-1.7100206313394706E-2</v>
      </c>
      <c r="N93" s="130"/>
      <c r="O93" s="136">
        <v>1230.26635742187</v>
      </c>
      <c r="P93" s="137">
        <f t="shared" si="10"/>
        <v>-7.3917162469748776E-3</v>
      </c>
      <c r="R93" s="136">
        <v>2483.80004882812</v>
      </c>
      <c r="S93" s="137">
        <f t="shared" si="11"/>
        <v>-4.9475608432146823E-3</v>
      </c>
    </row>
    <row r="94" spans="2:19" x14ac:dyDescent="0.35">
      <c r="B94" s="131">
        <v>45635</v>
      </c>
      <c r="C94" s="136">
        <v>24768.30078125</v>
      </c>
      <c r="D94" s="137">
        <f t="shared" si="6"/>
        <v>3.667263578396307E-3</v>
      </c>
      <c r="F94" s="136">
        <v>2239.16064453125</v>
      </c>
      <c r="G94" s="137">
        <f t="shared" si="7"/>
        <v>-6.3056607281499755E-3</v>
      </c>
      <c r="H94" s="130"/>
      <c r="I94" s="136">
        <v>645.05712890625</v>
      </c>
      <c r="J94" s="137">
        <f t="shared" si="8"/>
        <v>2.4843430235457209E-3</v>
      </c>
      <c r="K94" s="130"/>
      <c r="L94" s="136">
        <v>3.9800000190734801</v>
      </c>
      <c r="M94" s="137">
        <f t="shared" si="9"/>
        <v>-1.4851471125267079E-2</v>
      </c>
      <c r="N94" s="130"/>
      <c r="O94" s="136">
        <v>1106.78662109375</v>
      </c>
      <c r="P94" s="137">
        <f t="shared" si="10"/>
        <v>-0.10036829470561359</v>
      </c>
      <c r="R94" s="136">
        <v>2390.10009765625</v>
      </c>
      <c r="S94" s="137">
        <f t="shared" si="11"/>
        <v>-3.7724434064681844E-2</v>
      </c>
    </row>
    <row r="95" spans="2:19" x14ac:dyDescent="0.35">
      <c r="B95" s="131">
        <v>45642</v>
      </c>
      <c r="C95" s="136">
        <v>23587.5</v>
      </c>
      <c r="D95" s="137">
        <f t="shared" si="6"/>
        <v>-4.7673871198458895E-2</v>
      </c>
      <c r="F95" s="136">
        <v>2149.7333984375</v>
      </c>
      <c r="G95" s="137">
        <f t="shared" si="7"/>
        <v>-3.9937842919917421E-2</v>
      </c>
      <c r="H95" s="130"/>
      <c r="I95" s="136">
        <v>611.98748779296795</v>
      </c>
      <c r="J95" s="137">
        <f t="shared" si="8"/>
        <v>-5.1266220666926765E-2</v>
      </c>
      <c r="K95" s="130"/>
      <c r="L95" s="136">
        <v>3.5999999046325599</v>
      </c>
      <c r="M95" s="137">
        <f t="shared" si="9"/>
        <v>-9.5477415231113971E-2</v>
      </c>
      <c r="N95" s="130"/>
      <c r="O95" s="136">
        <v>1065.1123046875</v>
      </c>
      <c r="P95" s="137">
        <f t="shared" si="10"/>
        <v>-3.7653433473081366E-2</v>
      </c>
      <c r="R95" s="136">
        <v>2333.89990234375</v>
      </c>
      <c r="S95" s="137">
        <f t="shared" si="11"/>
        <v>-2.3513741272848887E-2</v>
      </c>
    </row>
    <row r="96" spans="2:19" x14ac:dyDescent="0.35">
      <c r="B96" s="131">
        <v>45649</v>
      </c>
      <c r="C96" s="136">
        <v>23813.400390625</v>
      </c>
      <c r="D96" s="137">
        <f t="shared" si="6"/>
        <v>9.5771230789614137E-3</v>
      </c>
      <c r="F96" s="136">
        <v>2151.82006835937</v>
      </c>
      <c r="G96" s="137">
        <f t="shared" si="7"/>
        <v>9.7066451281202504E-4</v>
      </c>
      <c r="H96" s="130"/>
      <c r="I96" s="136">
        <v>623.72668457031205</v>
      </c>
      <c r="J96" s="137">
        <f t="shared" si="8"/>
        <v>1.918208625421336E-2</v>
      </c>
      <c r="K96" s="130"/>
      <c r="L96" s="136">
        <v>3.7200000286102202</v>
      </c>
      <c r="M96" s="137">
        <f t="shared" si="9"/>
        <v>3.3333368654605122E-2</v>
      </c>
      <c r="N96" s="130"/>
      <c r="O96" s="136">
        <v>1063.31994628906</v>
      </c>
      <c r="P96" s="137">
        <f t="shared" si="10"/>
        <v>-1.6827881816330326E-3</v>
      </c>
      <c r="R96" s="136">
        <v>2341.25</v>
      </c>
      <c r="S96" s="137">
        <f t="shared" si="11"/>
        <v>3.1492771600312164E-3</v>
      </c>
    </row>
    <row r="97" spans="2:19" x14ac:dyDescent="0.35">
      <c r="B97" s="131">
        <v>45656</v>
      </c>
      <c r="C97" s="136">
        <v>24004.75</v>
      </c>
      <c r="D97" s="137">
        <f t="shared" si="6"/>
        <v>8.0353753028203911E-3</v>
      </c>
      <c r="F97" s="136">
        <v>2218.49291992187</v>
      </c>
      <c r="G97" s="137">
        <f t="shared" si="7"/>
        <v>3.0984398994537754E-2</v>
      </c>
      <c r="H97" s="130"/>
      <c r="I97" s="136">
        <v>651.60113525390602</v>
      </c>
      <c r="J97" s="137">
        <f t="shared" si="8"/>
        <v>4.4690168583691126E-2</v>
      </c>
      <c r="K97" s="130"/>
      <c r="L97" s="136">
        <v>3.6199998855590798</v>
      </c>
      <c r="M97" s="137">
        <f t="shared" si="9"/>
        <v>-2.6881758677969714E-2</v>
      </c>
      <c r="N97" s="130"/>
      <c r="O97" s="136">
        <v>1111.96496582031</v>
      </c>
      <c r="P97" s="137">
        <f t="shared" si="10"/>
        <v>4.5748243227279772E-2</v>
      </c>
      <c r="R97" s="136">
        <v>2406.25</v>
      </c>
      <c r="S97" s="137">
        <f t="shared" si="11"/>
        <v>2.7762947143619821E-2</v>
      </c>
    </row>
    <row r="98" spans="2:19" x14ac:dyDescent="0.35">
      <c r="B98" s="131">
        <v>45663</v>
      </c>
      <c r="C98" s="136">
        <v>23431.5</v>
      </c>
      <c r="D98" s="137">
        <f t="shared" si="6"/>
        <v>-2.3880690280048689E-2</v>
      </c>
      <c r="F98" s="136">
        <v>2233.59619140625</v>
      </c>
      <c r="G98" s="137">
        <f t="shared" si="7"/>
        <v>6.8078970857892163E-3</v>
      </c>
      <c r="H98" s="130"/>
      <c r="I98" s="136">
        <v>596.002197265625</v>
      </c>
      <c r="J98" s="137">
        <f t="shared" si="8"/>
        <v>-8.532664383191424E-2</v>
      </c>
      <c r="K98" s="130"/>
      <c r="L98" s="136">
        <v>3.5399999618530198</v>
      </c>
      <c r="M98" s="137">
        <f t="shared" si="9"/>
        <v>-2.2099427136778704E-2</v>
      </c>
      <c r="N98" s="130"/>
      <c r="O98" s="136">
        <v>1169.373046875</v>
      </c>
      <c r="P98" s="137">
        <f t="shared" si="10"/>
        <v>5.1627598727752577E-2</v>
      </c>
      <c r="R98" s="136">
        <v>2442.05004882812</v>
      </c>
      <c r="S98" s="137">
        <f t="shared" si="11"/>
        <v>1.4877942370127739E-2</v>
      </c>
    </row>
    <row r="99" spans="2:19" x14ac:dyDescent="0.35">
      <c r="B99" s="131">
        <v>45670</v>
      </c>
      <c r="C99" s="136">
        <v>23203.19921875</v>
      </c>
      <c r="D99" s="137">
        <f t="shared" si="6"/>
        <v>-9.7433276252053558E-3</v>
      </c>
      <c r="F99" s="136">
        <v>2203.09155273437</v>
      </c>
      <c r="G99" s="137">
        <f t="shared" si="7"/>
        <v>-1.3657186016544309E-2</v>
      </c>
      <c r="H99" s="130"/>
      <c r="I99" s="136">
        <v>555.839111328125</v>
      </c>
      <c r="J99" s="137">
        <f t="shared" si="8"/>
        <v>-6.7387479646488946E-2</v>
      </c>
      <c r="K99" s="130"/>
      <c r="L99" s="136">
        <v>3.2999999523162802</v>
      </c>
      <c r="M99" s="137">
        <f t="shared" si="9"/>
        <v>-6.7796613594060973E-2</v>
      </c>
      <c r="N99" s="130"/>
      <c r="O99" s="136">
        <v>1182.7666015625</v>
      </c>
      <c r="P99" s="137">
        <f t="shared" si="10"/>
        <v>1.1453620145677634E-2</v>
      </c>
      <c r="R99" s="136">
        <v>2354</v>
      </c>
      <c r="S99" s="137">
        <f t="shared" si="11"/>
        <v>-3.605579208762455E-2</v>
      </c>
    </row>
    <row r="100" spans="2:19" x14ac:dyDescent="0.35">
      <c r="B100" s="131">
        <v>45677</v>
      </c>
      <c r="C100" s="136">
        <v>23092.19921875</v>
      </c>
      <c r="D100" s="137">
        <f t="shared" si="6"/>
        <v>-4.7838230820473893E-3</v>
      </c>
      <c r="F100" s="136">
        <v>2193.8505859375</v>
      </c>
      <c r="G100" s="137">
        <f t="shared" si="7"/>
        <v>-4.1945450634589543E-3</v>
      </c>
      <c r="H100" s="130"/>
      <c r="I100" s="136">
        <v>541.20257568359295</v>
      </c>
      <c r="J100" s="137">
        <f t="shared" si="8"/>
        <v>-2.6332324131634777E-2</v>
      </c>
      <c r="K100" s="130"/>
      <c r="L100" s="136">
        <v>3.46000003814697</v>
      </c>
      <c r="M100" s="137">
        <f t="shared" si="9"/>
        <v>4.8484875194735988E-2</v>
      </c>
      <c r="N100" s="130"/>
      <c r="O100" s="136">
        <v>1125.607421875</v>
      </c>
      <c r="P100" s="137">
        <f t="shared" si="10"/>
        <v>-4.8326677141533714E-2</v>
      </c>
      <c r="R100" s="136">
        <v>2368.10009765625</v>
      </c>
      <c r="S100" s="137">
        <f t="shared" si="11"/>
        <v>5.9898460731733216E-3</v>
      </c>
    </row>
    <row r="101" spans="2:19" x14ac:dyDescent="0.35">
      <c r="B101" s="131">
        <v>45684</v>
      </c>
      <c r="C101" s="136">
        <v>23508.400390625</v>
      </c>
      <c r="D101" s="137">
        <f t="shared" si="6"/>
        <v>1.8023453198734662E-2</v>
      </c>
      <c r="F101" s="136">
        <v>2312.3916015625</v>
      </c>
      <c r="G101" s="137">
        <f t="shared" si="7"/>
        <v>5.4033313109308034E-2</v>
      </c>
      <c r="H101" s="130"/>
      <c r="I101" s="136">
        <v>560.884521484375</v>
      </c>
      <c r="J101" s="137">
        <f t="shared" si="8"/>
        <v>3.6367058630350613E-2</v>
      </c>
      <c r="K101" s="130"/>
      <c r="L101" s="136">
        <v>3.46000003814697</v>
      </c>
      <c r="M101" s="137">
        <f t="shared" si="9"/>
        <v>0</v>
      </c>
      <c r="N101" s="130"/>
      <c r="O101" s="136">
        <v>1186.69995117187</v>
      </c>
      <c r="P101" s="137">
        <f t="shared" si="10"/>
        <v>5.4275165665755853E-2</v>
      </c>
      <c r="R101" s="136">
        <v>2506.05004882812</v>
      </c>
      <c r="S101" s="137">
        <f t="shared" si="11"/>
        <v>5.8253429113237942E-2</v>
      </c>
    </row>
    <row r="102" spans="2:19" x14ac:dyDescent="0.35">
      <c r="B102" s="131">
        <v>45691</v>
      </c>
      <c r="C102" s="136">
        <v>23559.94921875</v>
      </c>
      <c r="D102" s="137">
        <f t="shared" si="6"/>
        <v>2.1927833144086417E-3</v>
      </c>
      <c r="F102" s="136">
        <v>2210.94140625</v>
      </c>
      <c r="G102" s="137">
        <f t="shared" si="7"/>
        <v>-4.3872411249006982E-2</v>
      </c>
      <c r="H102" s="130"/>
      <c r="I102" s="136">
        <v>553.19158935546795</v>
      </c>
      <c r="J102" s="137">
        <f t="shared" si="8"/>
        <v>-1.3715714793747225E-2</v>
      </c>
      <c r="K102" s="130"/>
      <c r="L102" s="136">
        <v>3.16000008583068</v>
      </c>
      <c r="M102" s="137">
        <f t="shared" si="9"/>
        <v>-8.6705187574783182E-2</v>
      </c>
      <c r="N102" s="130"/>
      <c r="O102" s="136">
        <v>1102.1064453125</v>
      </c>
      <c r="P102" s="137">
        <f t="shared" si="10"/>
        <v>-7.1284662796045173E-2</v>
      </c>
      <c r="R102" s="136">
        <v>2363.85009765625</v>
      </c>
      <c r="S102" s="137">
        <f t="shared" si="11"/>
        <v>-5.6742662118167031E-2</v>
      </c>
    </row>
    <row r="103" spans="2:19" x14ac:dyDescent="0.35">
      <c r="B103" s="131">
        <v>45698</v>
      </c>
      <c r="C103" s="136">
        <v>22929.25</v>
      </c>
      <c r="D103" s="137">
        <f t="shared" si="6"/>
        <v>-2.6769973606227571E-2</v>
      </c>
      <c r="F103" s="136">
        <v>2195.85009765625</v>
      </c>
      <c r="G103" s="137">
        <f t="shared" si="7"/>
        <v>-6.8257388237830119E-3</v>
      </c>
      <c r="H103" s="130"/>
      <c r="I103" s="136">
        <v>488.10137939453102</v>
      </c>
      <c r="J103" s="137">
        <f t="shared" si="8"/>
        <v>-0.11766305058392978</v>
      </c>
      <c r="K103" s="130"/>
      <c r="L103" s="136">
        <v>3.0799999237060498</v>
      </c>
      <c r="M103" s="137">
        <f t="shared" si="9"/>
        <v>-2.5316506313828202E-2</v>
      </c>
      <c r="N103" s="130"/>
      <c r="O103" s="136">
        <v>1058.90002441406</v>
      </c>
      <c r="P103" s="137">
        <f t="shared" si="10"/>
        <v>-3.9203491715529282E-2</v>
      </c>
      <c r="R103" s="136">
        <v>2318.35009765625</v>
      </c>
      <c r="S103" s="137">
        <f t="shared" si="11"/>
        <v>-1.9248259458208961E-2</v>
      </c>
    </row>
    <row r="104" spans="2:19" x14ac:dyDescent="0.35">
      <c r="B104" s="131">
        <v>45705</v>
      </c>
      <c r="C104" s="136">
        <v>22795.900390625</v>
      </c>
      <c r="D104" s="137">
        <f t="shared" si="6"/>
        <v>-5.8156986981693359E-3</v>
      </c>
      <c r="F104" s="136">
        <v>2214.94995117187</v>
      </c>
      <c r="G104" s="137">
        <f t="shared" si="7"/>
        <v>8.6981591029398064E-3</v>
      </c>
      <c r="H104" s="130"/>
      <c r="I104" s="136">
        <v>477.21139526367102</v>
      </c>
      <c r="J104" s="137">
        <f t="shared" si="8"/>
        <v>-2.2310906280102238E-2</v>
      </c>
      <c r="K104" s="130"/>
      <c r="L104" s="136">
        <v>3.20000004768371</v>
      </c>
      <c r="M104" s="137">
        <f t="shared" si="9"/>
        <v>3.8961080178621765E-2</v>
      </c>
      <c r="N104" s="130"/>
      <c r="O104" s="136">
        <v>1052.19995117187</v>
      </c>
      <c r="P104" s="137">
        <f t="shared" si="10"/>
        <v>-6.3273898269078366E-3</v>
      </c>
      <c r="R104" s="136">
        <v>2241.64990234375</v>
      </c>
      <c r="S104" s="137">
        <f t="shared" si="11"/>
        <v>-3.3083957159895983E-2</v>
      </c>
    </row>
    <row r="105" spans="2:19" x14ac:dyDescent="0.35">
      <c r="B105" s="131">
        <v>45712</v>
      </c>
      <c r="C105" s="136">
        <v>22124.69921875</v>
      </c>
      <c r="D105" s="137">
        <f t="shared" si="6"/>
        <v>-2.9443942128780209E-2</v>
      </c>
      <c r="F105" s="136">
        <v>2189.64990234375</v>
      </c>
      <c r="G105" s="137">
        <f t="shared" si="7"/>
        <v>-1.142240203429179E-2</v>
      </c>
      <c r="H105" s="130"/>
      <c r="I105" s="136">
        <v>435.64956665039</v>
      </c>
      <c r="J105" s="137">
        <f t="shared" si="8"/>
        <v>-8.7093118533594693E-2</v>
      </c>
      <c r="K105" s="130"/>
      <c r="L105" s="136">
        <v>3</v>
      </c>
      <c r="M105" s="137">
        <f t="shared" si="9"/>
        <v>-6.2500013969836732E-2</v>
      </c>
      <c r="N105" s="130"/>
      <c r="O105" s="136">
        <v>1005.15002441406</v>
      </c>
      <c r="P105" s="137">
        <f t="shared" si="10"/>
        <v>-4.4715765958180276E-2</v>
      </c>
      <c r="R105" s="136">
        <v>2190.25</v>
      </c>
      <c r="S105" s="137">
        <f t="shared" si="11"/>
        <v>-2.292949594404059E-2</v>
      </c>
    </row>
    <row r="106" spans="2:19" x14ac:dyDescent="0.35">
      <c r="B106" s="131">
        <v>45719</v>
      </c>
      <c r="C106" s="136">
        <v>22552.5</v>
      </c>
      <c r="D106" s="137">
        <f t="shared" si="6"/>
        <v>1.9335891395416249E-2</v>
      </c>
      <c r="F106" s="136">
        <v>2238.44995117187</v>
      </c>
      <c r="G106" s="137">
        <f t="shared" si="7"/>
        <v>2.2286690112371721E-2</v>
      </c>
      <c r="H106" s="130"/>
      <c r="I106" s="136">
        <v>487.30212402343699</v>
      </c>
      <c r="J106" s="137">
        <f t="shared" si="8"/>
        <v>0.11856446402596399</v>
      </c>
      <c r="K106" s="130"/>
      <c r="L106" s="136">
        <v>2.1199998855590798</v>
      </c>
      <c r="M106" s="137">
        <f t="shared" si="9"/>
        <v>-0.29333337148030669</v>
      </c>
      <c r="N106" s="130"/>
      <c r="O106" s="136">
        <v>1045.30004882812</v>
      </c>
      <c r="P106" s="137">
        <f t="shared" si="10"/>
        <v>3.9944310241115444E-2</v>
      </c>
      <c r="R106" s="136">
        <v>2204.55004882812</v>
      </c>
      <c r="S106" s="137">
        <f t="shared" si="11"/>
        <v>6.528957346476405E-3</v>
      </c>
    </row>
    <row r="107" spans="2:19" x14ac:dyDescent="0.35">
      <c r="B107" s="131">
        <v>45726</v>
      </c>
      <c r="C107" s="136">
        <v>22397.19921875</v>
      </c>
      <c r="D107" s="137">
        <f t="shared" si="6"/>
        <v>-6.8861891697150623E-3</v>
      </c>
      <c r="F107" s="136">
        <v>2191.94995117187</v>
      </c>
      <c r="G107" s="137">
        <f t="shared" si="7"/>
        <v>-2.0773303408305521E-2</v>
      </c>
      <c r="H107" s="130"/>
      <c r="I107" s="136">
        <v>487.70175170898398</v>
      </c>
      <c r="J107" s="137">
        <f t="shared" si="8"/>
        <v>8.2008196936933508E-4</v>
      </c>
      <c r="K107" s="130"/>
      <c r="L107" s="136">
        <v>2</v>
      </c>
      <c r="M107" s="137">
        <f t="shared" si="9"/>
        <v>-5.6603722658897127E-2</v>
      </c>
      <c r="N107" s="130"/>
      <c r="O107" s="136">
        <v>1025.80004882812</v>
      </c>
      <c r="P107" s="137">
        <f t="shared" si="10"/>
        <v>-1.8654930727173835E-2</v>
      </c>
      <c r="R107" s="136">
        <v>2174.80004882812</v>
      </c>
      <c r="S107" s="137">
        <f t="shared" si="11"/>
        <v>-1.3494817237564738E-2</v>
      </c>
    </row>
    <row r="108" spans="2:19" x14ac:dyDescent="0.35">
      <c r="B108" s="131">
        <v>45733</v>
      </c>
      <c r="C108" s="136">
        <v>23350.400390625</v>
      </c>
      <c r="D108" s="137">
        <f t="shared" si="6"/>
        <v>4.2558945096895062E-2</v>
      </c>
      <c r="F108" s="136">
        <v>2268.85009765625</v>
      </c>
      <c r="G108" s="137">
        <f t="shared" si="7"/>
        <v>3.5082984647193838E-2</v>
      </c>
      <c r="H108" s="130"/>
      <c r="I108" s="136">
        <v>537.4560546875</v>
      </c>
      <c r="J108" s="137">
        <f t="shared" si="8"/>
        <v>0.10201788860542149</v>
      </c>
      <c r="K108" s="130"/>
      <c r="L108" s="136">
        <v>1.9800000190734801</v>
      </c>
      <c r="M108" s="137">
        <f t="shared" si="9"/>
        <v>-9.9999904632599446E-3</v>
      </c>
      <c r="N108" s="130"/>
      <c r="O108" s="136">
        <v>1111.94995117187</v>
      </c>
      <c r="P108" s="137">
        <f t="shared" si="10"/>
        <v>8.3983133401259069E-2</v>
      </c>
      <c r="R108" s="136">
        <v>2246.19995117187</v>
      </c>
      <c r="S108" s="137">
        <f t="shared" si="11"/>
        <v>3.2830559472455167E-2</v>
      </c>
    </row>
    <row r="109" spans="2:19" x14ac:dyDescent="0.35">
      <c r="B109" s="131">
        <v>45740</v>
      </c>
      <c r="C109" s="136">
        <v>23519.349609375</v>
      </c>
      <c r="D109" s="137">
        <f t="shared" si="6"/>
        <v>7.2353885125597817E-3</v>
      </c>
      <c r="F109" s="136">
        <v>2250.75</v>
      </c>
      <c r="G109" s="137">
        <f t="shared" si="7"/>
        <v>-7.9776525011271415E-3</v>
      </c>
      <c r="H109" s="130"/>
      <c r="I109" s="136">
        <v>539.15447998046795</v>
      </c>
      <c r="J109" s="137">
        <f t="shared" si="8"/>
        <v>3.1601193774912772E-3</v>
      </c>
      <c r="K109" s="130"/>
      <c r="L109" s="136">
        <v>1.9800000190734801</v>
      </c>
      <c r="M109" s="137">
        <f t="shared" si="9"/>
        <v>0</v>
      </c>
      <c r="N109" s="130"/>
      <c r="O109" s="136">
        <v>1159.25</v>
      </c>
      <c r="P109" s="137">
        <f t="shared" si="10"/>
        <v>4.253792967775305E-2</v>
      </c>
      <c r="R109" s="136">
        <v>2258.85009765625</v>
      </c>
      <c r="S109" s="137">
        <f t="shared" si="11"/>
        <v>5.6317989312484329E-3</v>
      </c>
    </row>
    <row r="110" spans="2:19" x14ac:dyDescent="0.35">
      <c r="B110" s="131">
        <v>45747</v>
      </c>
      <c r="C110" s="136">
        <v>22904.44921875</v>
      </c>
      <c r="D110" s="137">
        <f t="shared" si="6"/>
        <v>-2.6144447054772924E-2</v>
      </c>
      <c r="F110" s="136">
        <v>2262.14990234375</v>
      </c>
      <c r="G110" s="137">
        <f t="shared" si="7"/>
        <v>5.0649349522382536E-3</v>
      </c>
      <c r="H110" s="130"/>
      <c r="I110" s="136">
        <v>534.95831298828102</v>
      </c>
      <c r="J110" s="137">
        <f t="shared" si="8"/>
        <v>-7.7828658538439122E-3</v>
      </c>
      <c r="K110" s="130"/>
      <c r="L110" s="136">
        <v>1.87000000476837</v>
      </c>
      <c r="M110" s="137">
        <f t="shared" si="9"/>
        <v>-5.5555562245187984E-2</v>
      </c>
      <c r="N110" s="130"/>
      <c r="O110" s="136">
        <v>1156.59997558593</v>
      </c>
      <c r="P110" s="137">
        <f t="shared" si="10"/>
        <v>-2.2859818107138219E-3</v>
      </c>
      <c r="R110" s="136">
        <v>2244.55004882812</v>
      </c>
      <c r="S110" s="137">
        <f t="shared" si="11"/>
        <v>-6.3306763219779238E-3</v>
      </c>
    </row>
    <row r="111" spans="2:19" x14ac:dyDescent="0.35">
      <c r="B111" s="131">
        <v>45754</v>
      </c>
      <c r="C111" s="136">
        <v>22828.55078125</v>
      </c>
      <c r="D111" s="137">
        <f t="shared" si="6"/>
        <v>-3.3136984336592512E-3</v>
      </c>
      <c r="F111" s="136">
        <v>2361.39990234375</v>
      </c>
      <c r="G111" s="137">
        <f t="shared" si="7"/>
        <v>4.3874192376539556E-2</v>
      </c>
      <c r="H111" s="130"/>
      <c r="I111" s="136">
        <v>545.75</v>
      </c>
      <c r="J111" s="137">
        <f t="shared" si="8"/>
        <v>2.0172949461120693E-2</v>
      </c>
      <c r="K111" s="130"/>
      <c r="L111" s="136">
        <v>1.8400000333786</v>
      </c>
      <c r="M111" s="137">
        <f t="shared" si="9"/>
        <v>-1.6042765408166959E-2</v>
      </c>
      <c r="N111" s="130"/>
      <c r="O111" s="136">
        <v>1223.59997558593</v>
      </c>
      <c r="P111" s="137">
        <f t="shared" si="10"/>
        <v>5.7928412082196346E-2</v>
      </c>
      <c r="R111" s="136">
        <v>2366.14990234375</v>
      </c>
      <c r="S111" s="137">
        <f t="shared" si="11"/>
        <v>5.417560351533135E-2</v>
      </c>
    </row>
    <row r="112" spans="2:19" x14ac:dyDescent="0.35">
      <c r="B112" s="131">
        <v>45761</v>
      </c>
      <c r="C112" s="136">
        <v>23851.650390625</v>
      </c>
      <c r="D112" s="137">
        <f t="shared" si="6"/>
        <v>4.4816669230502093E-2</v>
      </c>
      <c r="F112" s="136">
        <v>2416.60009765625</v>
      </c>
      <c r="G112" s="137">
        <f t="shared" si="7"/>
        <v>2.3376047088725871E-2</v>
      </c>
      <c r="H112" s="130"/>
      <c r="I112" s="136">
        <v>556.75</v>
      </c>
      <c r="J112" s="137">
        <f t="shared" si="8"/>
        <v>2.0155748969308274E-2</v>
      </c>
      <c r="K112" s="130"/>
      <c r="L112" s="136">
        <v>1.96000003814697</v>
      </c>
      <c r="M112" s="137">
        <f t="shared" si="9"/>
        <v>6.521739271277438E-2</v>
      </c>
      <c r="N112" s="130"/>
      <c r="O112" s="136">
        <v>1239.30004882812</v>
      </c>
      <c r="P112" s="137">
        <f t="shared" si="10"/>
        <v>1.2831050633743235E-2</v>
      </c>
      <c r="R112" s="136">
        <v>2375</v>
      </c>
      <c r="S112" s="137">
        <f t="shared" si="11"/>
        <v>3.7402945804421162E-3</v>
      </c>
    </row>
    <row r="113" spans="2:19" x14ac:dyDescent="0.35">
      <c r="B113" s="131">
        <v>45768</v>
      </c>
      <c r="C113" s="136">
        <v>24246.69921875</v>
      </c>
      <c r="D113" s="137">
        <f t="shared" si="6"/>
        <v>1.656274604294361E-2</v>
      </c>
      <c r="F113" s="136">
        <v>2433.19995117187</v>
      </c>
      <c r="G113" s="137">
        <f t="shared" si="7"/>
        <v>6.8690941176900999E-3</v>
      </c>
      <c r="H113" s="130"/>
      <c r="I113" s="136">
        <v>532.34997558593705</v>
      </c>
      <c r="J113" s="137">
        <f t="shared" si="8"/>
        <v>-4.3825818435676567E-2</v>
      </c>
      <c r="K113" s="130"/>
      <c r="L113" s="136">
        <v>1.9800000190734801</v>
      </c>
      <c r="M113" s="137">
        <f t="shared" si="9"/>
        <v>1.020407170268145E-2</v>
      </c>
      <c r="N113" s="130"/>
      <c r="O113" s="136">
        <v>1267.90002441406</v>
      </c>
      <c r="P113" s="137">
        <f t="shared" si="10"/>
        <v>2.3077523165583758E-2</v>
      </c>
      <c r="R113" s="136">
        <v>2325.30004882812</v>
      </c>
      <c r="S113" s="137">
        <f t="shared" si="11"/>
        <v>-2.0926295230265235E-2</v>
      </c>
    </row>
    <row r="117" spans="2:19" x14ac:dyDescent="0.35">
      <c r="B117" s="135" t="s">
        <v>267</v>
      </c>
      <c r="F117" s="221" t="s">
        <v>385</v>
      </c>
      <c r="G117" s="221"/>
      <c r="I117" s="221" t="s">
        <v>386</v>
      </c>
      <c r="J117" s="221"/>
      <c r="L117" s="221" t="s">
        <v>387</v>
      </c>
      <c r="M117" s="221"/>
      <c r="O117" s="221" t="s">
        <v>388</v>
      </c>
      <c r="P117" s="221"/>
      <c r="R117" s="221" t="s">
        <v>389</v>
      </c>
      <c r="S117" s="221"/>
    </row>
    <row r="119" spans="2:19" x14ac:dyDescent="0.35">
      <c r="B119" t="s">
        <v>268</v>
      </c>
      <c r="F119" t="s">
        <v>292</v>
      </c>
      <c r="G119" s="142">
        <f>C136</f>
        <v>0.70715246880852134</v>
      </c>
      <c r="I119" t="s">
        <v>292</v>
      </c>
      <c r="J119" s="142">
        <f>C156</f>
        <v>1.2450632627099858</v>
      </c>
      <c r="L119" t="s">
        <v>292</v>
      </c>
      <c r="M119" s="142">
        <f>M156</f>
        <v>0.34115945726352076</v>
      </c>
      <c r="O119" t="s">
        <v>292</v>
      </c>
      <c r="P119" s="142">
        <f>C178</f>
        <v>0.81397526085761729</v>
      </c>
      <c r="R119" t="s">
        <v>292</v>
      </c>
      <c r="S119" s="142">
        <f>M178</f>
        <v>0.59704653932833529</v>
      </c>
    </row>
    <row r="120" spans="2:19" ht="15" thickBot="1" x14ac:dyDescent="0.4">
      <c r="F120" t="s">
        <v>293</v>
      </c>
      <c r="G120" s="91">
        <v>0.75</v>
      </c>
      <c r="I120" t="s">
        <v>293</v>
      </c>
      <c r="J120" s="91">
        <v>0.75</v>
      </c>
      <c r="L120" t="s">
        <v>293</v>
      </c>
      <c r="M120" s="91">
        <v>0.75</v>
      </c>
      <c r="O120" t="s">
        <v>293</v>
      </c>
      <c r="P120" s="91">
        <v>0.75</v>
      </c>
      <c r="R120" t="s">
        <v>293</v>
      </c>
      <c r="S120" s="91">
        <v>0.75</v>
      </c>
    </row>
    <row r="121" spans="2:19" x14ac:dyDescent="0.35">
      <c r="B121" s="140" t="s">
        <v>269</v>
      </c>
      <c r="C121" s="140"/>
    </row>
    <row r="122" spans="2:19" x14ac:dyDescent="0.35">
      <c r="B122" t="s">
        <v>270</v>
      </c>
      <c r="C122">
        <v>0.46739806760619323</v>
      </c>
      <c r="F122" t="s">
        <v>296</v>
      </c>
      <c r="G122" s="142">
        <v>1</v>
      </c>
      <c r="I122" t="s">
        <v>296</v>
      </c>
      <c r="J122" s="142">
        <v>1</v>
      </c>
      <c r="L122" t="s">
        <v>296</v>
      </c>
      <c r="M122" s="142">
        <v>1</v>
      </c>
      <c r="O122" t="s">
        <v>296</v>
      </c>
      <c r="P122" s="142">
        <v>1</v>
      </c>
      <c r="R122" t="s">
        <v>296</v>
      </c>
      <c r="S122" s="142">
        <v>1</v>
      </c>
    </row>
    <row r="123" spans="2:19" x14ac:dyDescent="0.35">
      <c r="B123" t="s">
        <v>271</v>
      </c>
      <c r="C123">
        <v>0.2184609536020036</v>
      </c>
      <c r="F123" t="s">
        <v>294</v>
      </c>
      <c r="G123" s="91">
        <v>0.25</v>
      </c>
      <c r="I123" t="s">
        <v>294</v>
      </c>
      <c r="J123" s="91">
        <v>0.25</v>
      </c>
      <c r="L123" t="s">
        <v>294</v>
      </c>
      <c r="M123" s="91">
        <v>0.25</v>
      </c>
      <c r="O123" t="s">
        <v>294</v>
      </c>
      <c r="P123" s="91">
        <v>0.25</v>
      </c>
      <c r="R123" t="s">
        <v>294</v>
      </c>
      <c r="S123" s="91">
        <v>0.25</v>
      </c>
    </row>
    <row r="124" spans="2:19" x14ac:dyDescent="0.35">
      <c r="B124" t="s">
        <v>272</v>
      </c>
      <c r="C124">
        <v>0.21087319586998421</v>
      </c>
    </row>
    <row r="125" spans="2:19" x14ac:dyDescent="0.35">
      <c r="B125" t="s">
        <v>273</v>
      </c>
      <c r="C125">
        <v>2.2536920638216416E-2</v>
      </c>
      <c r="F125" t="s">
        <v>295</v>
      </c>
      <c r="G125" s="143">
        <f>(G119*G120)+(G122*G123)</f>
        <v>0.78036435160639095</v>
      </c>
      <c r="I125" t="s">
        <v>295</v>
      </c>
      <c r="J125" s="143">
        <f>(J119*J120)+(J122*J123)</f>
        <v>1.1837974470324895</v>
      </c>
      <c r="L125" t="s">
        <v>295</v>
      </c>
      <c r="M125" s="143">
        <f>(M119*M120)+(M122*M123)</f>
        <v>0.50586959294764056</v>
      </c>
      <c r="O125" t="s">
        <v>295</v>
      </c>
      <c r="P125" s="143">
        <f>(P119*P120)+(P122*P123)</f>
        <v>0.86048144564321294</v>
      </c>
      <c r="R125" t="s">
        <v>295</v>
      </c>
      <c r="S125" s="143">
        <f>(S119*S120)+(S122*S123)</f>
        <v>0.69778490449625141</v>
      </c>
    </row>
    <row r="126" spans="2:19" ht="15" thickBot="1" x14ac:dyDescent="0.4">
      <c r="B126" s="138" t="s">
        <v>274</v>
      </c>
      <c r="C126" s="138">
        <v>105</v>
      </c>
    </row>
    <row r="128" spans="2:19" ht="15" thickBot="1" x14ac:dyDescent="0.4">
      <c r="B128" t="s">
        <v>275</v>
      </c>
    </row>
    <row r="129" spans="2:13" x14ac:dyDescent="0.35">
      <c r="B129" s="139"/>
      <c r="C129" s="139" t="s">
        <v>279</v>
      </c>
      <c r="D129" s="139" t="s">
        <v>280</v>
      </c>
      <c r="E129" s="139" t="s">
        <v>281</v>
      </c>
      <c r="F129" s="139" t="s">
        <v>282</v>
      </c>
      <c r="G129" s="139" t="s">
        <v>283</v>
      </c>
    </row>
    <row r="130" spans="2:13" x14ac:dyDescent="0.35">
      <c r="B130" t="s">
        <v>276</v>
      </c>
      <c r="C130">
        <v>1</v>
      </c>
      <c r="D130">
        <v>1.4623439067734958E-2</v>
      </c>
      <c r="E130">
        <v>1.4623439067734958E-2</v>
      </c>
      <c r="F130">
        <v>28.791239957507585</v>
      </c>
      <c r="G130">
        <v>4.988990099477889E-7</v>
      </c>
    </row>
    <row r="131" spans="2:13" x14ac:dyDescent="0.35">
      <c r="B131" t="s">
        <v>277</v>
      </c>
      <c r="C131">
        <v>103</v>
      </c>
      <c r="D131">
        <v>5.2315017560886301E-2</v>
      </c>
      <c r="E131">
        <v>5.0791279185326505E-4</v>
      </c>
    </row>
    <row r="132" spans="2:13" ht="15" thickBot="1" x14ac:dyDescent="0.4">
      <c r="B132" s="138" t="s">
        <v>26</v>
      </c>
      <c r="C132" s="138">
        <v>104</v>
      </c>
      <c r="D132" s="138">
        <v>6.693845662862126E-2</v>
      </c>
      <c r="E132" s="138"/>
      <c r="F132" s="138"/>
      <c r="G132" s="138"/>
    </row>
    <row r="133" spans="2:13" ht="15" thickBot="1" x14ac:dyDescent="0.4"/>
    <row r="134" spans="2:13" x14ac:dyDescent="0.35">
      <c r="B134" s="139"/>
      <c r="C134" s="139" t="s">
        <v>284</v>
      </c>
      <c r="D134" s="139" t="s">
        <v>273</v>
      </c>
      <c r="E134" s="139" t="s">
        <v>285</v>
      </c>
      <c r="F134" s="139" t="s">
        <v>286</v>
      </c>
      <c r="G134" s="139" t="s">
        <v>287</v>
      </c>
      <c r="H134" s="139" t="s">
        <v>288</v>
      </c>
      <c r="I134" s="139" t="s">
        <v>289</v>
      </c>
      <c r="J134" s="139" t="s">
        <v>290</v>
      </c>
    </row>
    <row r="135" spans="2:13" x14ac:dyDescent="0.35">
      <c r="B135" t="s">
        <v>278</v>
      </c>
      <c r="C135">
        <v>-6.5417245414727074E-5</v>
      </c>
      <c r="D135">
        <v>2.2390102458568701E-3</v>
      </c>
      <c r="E135">
        <v>-2.9217037097430464E-2</v>
      </c>
      <c r="F135">
        <v>0.9767480300572442</v>
      </c>
      <c r="G135">
        <v>-4.5059659858030683E-3</v>
      </c>
      <c r="H135">
        <v>4.3751314949736133E-3</v>
      </c>
      <c r="I135">
        <v>-4.5059659858030683E-3</v>
      </c>
      <c r="J135">
        <v>4.3751314949736133E-3</v>
      </c>
    </row>
    <row r="136" spans="2:13" ht="15" thickBot="1" x14ac:dyDescent="0.4">
      <c r="B136" s="138" t="s">
        <v>291</v>
      </c>
      <c r="C136" s="138">
        <v>0.70715246880852134</v>
      </c>
      <c r="D136" s="138">
        <v>0.13179012726282147</v>
      </c>
      <c r="E136" s="138">
        <v>5.365746915156155</v>
      </c>
      <c r="F136" s="138">
        <v>4.9889900994774655E-7</v>
      </c>
      <c r="G136" s="138">
        <v>0.44577783477303623</v>
      </c>
      <c r="H136" s="138">
        <v>0.96852710284400645</v>
      </c>
      <c r="I136" s="138">
        <v>0.44577783477303623</v>
      </c>
      <c r="J136" s="138">
        <v>0.96852710284400645</v>
      </c>
    </row>
    <row r="138" spans="2:13" x14ac:dyDescent="0.35">
      <c r="B138" s="135" t="s">
        <v>297</v>
      </c>
      <c r="L138" s="135" t="s">
        <v>298</v>
      </c>
    </row>
    <row r="139" spans="2:13" x14ac:dyDescent="0.35">
      <c r="B139" t="s">
        <v>268</v>
      </c>
      <c r="L139" t="s">
        <v>268</v>
      </c>
    </row>
    <row r="140" spans="2:13" ht="15" thickBot="1" x14ac:dyDescent="0.4"/>
    <row r="141" spans="2:13" x14ac:dyDescent="0.35">
      <c r="B141" s="140" t="s">
        <v>269</v>
      </c>
      <c r="C141" s="140"/>
      <c r="L141" s="140" t="s">
        <v>269</v>
      </c>
      <c r="M141" s="140"/>
    </row>
    <row r="142" spans="2:13" x14ac:dyDescent="0.35">
      <c r="B142" t="s">
        <v>270</v>
      </c>
      <c r="C142">
        <v>0.45238905489120451</v>
      </c>
      <c r="L142" t="s">
        <v>270</v>
      </c>
      <c r="M142">
        <v>0.10673154252369653</v>
      </c>
    </row>
    <row r="143" spans="2:13" x14ac:dyDescent="0.35">
      <c r="B143" t="s">
        <v>271</v>
      </c>
      <c r="C143">
        <v>0.20465585698535724</v>
      </c>
      <c r="L143" t="s">
        <v>271</v>
      </c>
      <c r="M143">
        <v>1.1391622169487641E-2</v>
      </c>
    </row>
    <row r="144" spans="2:13" x14ac:dyDescent="0.35">
      <c r="B144" t="s">
        <v>272</v>
      </c>
      <c r="C144">
        <v>0.19693406918909856</v>
      </c>
      <c r="L144" t="s">
        <v>272</v>
      </c>
      <c r="M144">
        <v>1.7934825789001419E-3</v>
      </c>
    </row>
    <row r="145" spans="2:20" x14ac:dyDescent="0.35">
      <c r="B145" t="s">
        <v>273</v>
      </c>
      <c r="C145">
        <v>4.1357088675142491E-2</v>
      </c>
      <c r="L145" t="s">
        <v>273</v>
      </c>
      <c r="M145">
        <v>5.3551280215927241E-2</v>
      </c>
    </row>
    <row r="146" spans="2:20" ht="15" thickBot="1" x14ac:dyDescent="0.4">
      <c r="B146" s="138" t="s">
        <v>274</v>
      </c>
      <c r="C146" s="138">
        <v>105</v>
      </c>
      <c r="L146" s="138" t="s">
        <v>274</v>
      </c>
      <c r="M146" s="138">
        <v>105</v>
      </c>
    </row>
    <row r="148" spans="2:20" ht="15" thickBot="1" x14ac:dyDescent="0.4">
      <c r="B148" t="s">
        <v>275</v>
      </c>
      <c r="L148" t="s">
        <v>275</v>
      </c>
    </row>
    <row r="149" spans="2:20" x14ac:dyDescent="0.35">
      <c r="B149" s="139"/>
      <c r="C149" s="139" t="s">
        <v>279</v>
      </c>
      <c r="D149" s="139" t="s">
        <v>280</v>
      </c>
      <c r="E149" s="139" t="s">
        <v>281</v>
      </c>
      <c r="F149" s="139" t="s">
        <v>282</v>
      </c>
      <c r="G149" s="139" t="s">
        <v>283</v>
      </c>
      <c r="L149" s="139"/>
      <c r="M149" s="139" t="s">
        <v>279</v>
      </c>
      <c r="N149" s="139" t="s">
        <v>280</v>
      </c>
      <c r="O149" s="139" t="s">
        <v>281</v>
      </c>
      <c r="P149" s="139" t="s">
        <v>282</v>
      </c>
      <c r="Q149" s="139" t="s">
        <v>283</v>
      </c>
    </row>
    <row r="150" spans="2:20" x14ac:dyDescent="0.35">
      <c r="B150" t="s">
        <v>276</v>
      </c>
      <c r="C150">
        <v>1</v>
      </c>
      <c r="D150">
        <v>4.533214129371077E-2</v>
      </c>
      <c r="E150">
        <v>4.533214129371077E-2</v>
      </c>
      <c r="F150">
        <v>26.503688314837703</v>
      </c>
      <c r="G150">
        <v>1.2668238769666464E-6</v>
      </c>
      <c r="L150" t="s">
        <v>276</v>
      </c>
      <c r="M150">
        <v>1</v>
      </c>
      <c r="N150">
        <v>3.4035977327445122E-3</v>
      </c>
      <c r="O150">
        <v>3.4035977327445122E-3</v>
      </c>
      <c r="P150">
        <v>1.1868573135421929</v>
      </c>
      <c r="Q150">
        <v>0.27850671085198425</v>
      </c>
    </row>
    <row r="151" spans="2:20" x14ac:dyDescent="0.35">
      <c r="B151" t="s">
        <v>277</v>
      </c>
      <c r="C151">
        <v>103</v>
      </c>
      <c r="D151">
        <v>0.17617210471941069</v>
      </c>
      <c r="E151">
        <v>1.710408783683599E-3</v>
      </c>
      <c r="L151" t="s">
        <v>277</v>
      </c>
      <c r="M151">
        <v>103</v>
      </c>
      <c r="N151">
        <v>0.29537718011477032</v>
      </c>
      <c r="O151">
        <v>2.8677396127647606E-3</v>
      </c>
    </row>
    <row r="152" spans="2:20" ht="15" thickBot="1" x14ac:dyDescent="0.4">
      <c r="B152" s="138" t="s">
        <v>26</v>
      </c>
      <c r="C152" s="138">
        <v>104</v>
      </c>
      <c r="D152" s="138">
        <v>0.22150424601312146</v>
      </c>
      <c r="E152" s="138"/>
      <c r="F152" s="138"/>
      <c r="G152" s="138"/>
      <c r="L152" s="138" t="s">
        <v>26</v>
      </c>
      <c r="M152" s="138">
        <v>104</v>
      </c>
      <c r="N152" s="138">
        <v>0.29878077784751483</v>
      </c>
      <c r="O152" s="138"/>
      <c r="P152" s="138"/>
      <c r="Q152" s="138"/>
    </row>
    <row r="153" spans="2:20" ht="15" thickBot="1" x14ac:dyDescent="0.4"/>
    <row r="154" spans="2:20" x14ac:dyDescent="0.35">
      <c r="B154" s="139"/>
      <c r="C154" s="139" t="s">
        <v>284</v>
      </c>
      <c r="D154" s="139" t="s">
        <v>273</v>
      </c>
      <c r="E154" s="139" t="s">
        <v>285</v>
      </c>
      <c r="F154" s="139" t="s">
        <v>286</v>
      </c>
      <c r="G154" s="139" t="s">
        <v>287</v>
      </c>
      <c r="H154" s="139" t="s">
        <v>288</v>
      </c>
      <c r="I154" s="139" t="s">
        <v>289</v>
      </c>
      <c r="J154" s="139" t="s">
        <v>290</v>
      </c>
      <c r="L154" s="139"/>
      <c r="M154" s="139" t="s">
        <v>284</v>
      </c>
      <c r="N154" s="139" t="s">
        <v>273</v>
      </c>
      <c r="O154" s="139" t="s">
        <v>285</v>
      </c>
      <c r="P154" s="139" t="s">
        <v>286</v>
      </c>
      <c r="Q154" s="139" t="s">
        <v>287</v>
      </c>
      <c r="R154" s="139" t="s">
        <v>288</v>
      </c>
      <c r="S154" s="139" t="s">
        <v>289</v>
      </c>
      <c r="T154" s="139" t="s">
        <v>290</v>
      </c>
    </row>
    <row r="155" spans="2:20" x14ac:dyDescent="0.35">
      <c r="B155" t="s">
        <v>278</v>
      </c>
      <c r="C155">
        <v>3.2602572185234336E-3</v>
      </c>
      <c r="D155">
        <v>4.1087665333227824E-3</v>
      </c>
      <c r="E155">
        <v>0.79348806803263305</v>
      </c>
      <c r="F155">
        <v>0.42931768316309948</v>
      </c>
      <c r="G155">
        <v>-4.8885121262607903E-3</v>
      </c>
      <c r="H155">
        <v>1.1409026563307657E-2</v>
      </c>
      <c r="I155">
        <v>-4.8885121262607903E-3</v>
      </c>
      <c r="J155">
        <v>1.1409026563307657E-2</v>
      </c>
      <c r="L155" t="s">
        <v>278</v>
      </c>
      <c r="M155">
        <v>-1.4491010949973423E-2</v>
      </c>
      <c r="N155">
        <v>5.3202417050221499E-3</v>
      </c>
      <c r="O155">
        <v>-2.7237504898122089</v>
      </c>
      <c r="P155">
        <v>7.5833374563550734E-3</v>
      </c>
      <c r="Q155">
        <v>-2.5042455565072272E-2</v>
      </c>
      <c r="R155">
        <v>-3.9395663348745728E-3</v>
      </c>
      <c r="S155">
        <v>-2.5042455565072272E-2</v>
      </c>
      <c r="T155">
        <v>-3.9395663348745728E-3</v>
      </c>
    </row>
    <row r="156" spans="2:20" ht="15" thickBot="1" x14ac:dyDescent="0.4">
      <c r="B156" s="138" t="s">
        <v>291</v>
      </c>
      <c r="C156" s="138">
        <v>1.2450632627099858</v>
      </c>
      <c r="D156" s="138">
        <v>0.24184563930505867</v>
      </c>
      <c r="E156" s="138">
        <v>5.14817329883501</v>
      </c>
      <c r="F156" s="138">
        <v>1.2668238769666307E-6</v>
      </c>
      <c r="G156" s="138">
        <v>0.7654194777064478</v>
      </c>
      <c r="H156" s="138">
        <v>1.7247070477135238</v>
      </c>
      <c r="I156" s="138">
        <v>0.7654194777064478</v>
      </c>
      <c r="J156" s="138">
        <v>1.7247070477135238</v>
      </c>
      <c r="L156" s="138" t="s">
        <v>291</v>
      </c>
      <c r="M156" s="138">
        <v>0.34115945726352076</v>
      </c>
      <c r="N156" s="138">
        <v>0.31315414151019527</v>
      </c>
      <c r="O156" s="138">
        <v>1.0894298112050156</v>
      </c>
      <c r="P156" s="138">
        <v>0.27850671085198425</v>
      </c>
      <c r="Q156" s="138">
        <v>-0.27990792338096387</v>
      </c>
      <c r="R156" s="138">
        <v>0.96222683790800545</v>
      </c>
      <c r="S156" s="138">
        <v>-0.27990792338096387</v>
      </c>
      <c r="T156" s="138">
        <v>0.96222683790800545</v>
      </c>
    </row>
    <row r="159" spans="2:20" x14ac:dyDescent="0.35">
      <c r="B159" s="135" t="s">
        <v>299</v>
      </c>
      <c r="L159" s="135" t="s">
        <v>301</v>
      </c>
    </row>
    <row r="161" spans="2:20" x14ac:dyDescent="0.35">
      <c r="B161" t="s">
        <v>268</v>
      </c>
      <c r="L161" t="s">
        <v>268</v>
      </c>
    </row>
    <row r="162" spans="2:20" ht="15" thickBot="1" x14ac:dyDescent="0.4"/>
    <row r="163" spans="2:20" x14ac:dyDescent="0.35">
      <c r="B163" s="140" t="s">
        <v>269</v>
      </c>
      <c r="C163" s="140"/>
      <c r="L163" s="140" t="s">
        <v>269</v>
      </c>
      <c r="M163" s="140"/>
    </row>
    <row r="164" spans="2:20" x14ac:dyDescent="0.35">
      <c r="B164" t="s">
        <v>270</v>
      </c>
      <c r="C164">
        <v>0.38054127316963976</v>
      </c>
      <c r="L164" t="s">
        <v>270</v>
      </c>
      <c r="M164">
        <v>0.37448149223574001</v>
      </c>
    </row>
    <row r="165" spans="2:20" x14ac:dyDescent="0.35">
      <c r="B165" t="s">
        <v>271</v>
      </c>
      <c r="C165">
        <v>0.14481166058557038</v>
      </c>
      <c r="L165" t="s">
        <v>271</v>
      </c>
      <c r="M165">
        <v>0.14023638802710661</v>
      </c>
    </row>
    <row r="166" spans="2:20" x14ac:dyDescent="0.35">
      <c r="B166" t="s">
        <v>272</v>
      </c>
      <c r="C166">
        <v>0.13650886117377981</v>
      </c>
      <c r="L166" t="s">
        <v>272</v>
      </c>
      <c r="M166">
        <v>0.13188916849338919</v>
      </c>
    </row>
    <row r="167" spans="2:20" x14ac:dyDescent="0.35">
      <c r="B167" t="s">
        <v>273</v>
      </c>
      <c r="C167">
        <v>3.3329853878480913E-2</v>
      </c>
      <c r="L167" t="s">
        <v>273</v>
      </c>
      <c r="M167">
        <v>2.4909238018111204E-2</v>
      </c>
    </row>
    <row r="168" spans="2:20" ht="15" thickBot="1" x14ac:dyDescent="0.4">
      <c r="B168" s="138" t="s">
        <v>274</v>
      </c>
      <c r="C168" s="138">
        <v>105</v>
      </c>
      <c r="L168" s="138" t="s">
        <v>274</v>
      </c>
      <c r="M168" s="138">
        <v>105</v>
      </c>
    </row>
    <row r="170" spans="2:20" ht="15" thickBot="1" x14ac:dyDescent="0.4">
      <c r="B170" t="s">
        <v>275</v>
      </c>
      <c r="L170" t="s">
        <v>275</v>
      </c>
    </row>
    <row r="171" spans="2:20" x14ac:dyDescent="0.35">
      <c r="B171" s="139"/>
      <c r="C171" s="139" t="s">
        <v>279</v>
      </c>
      <c r="D171" s="139" t="s">
        <v>280</v>
      </c>
      <c r="E171" s="139" t="s">
        <v>281</v>
      </c>
      <c r="F171" s="139" t="s">
        <v>282</v>
      </c>
      <c r="G171" s="139" t="s">
        <v>283</v>
      </c>
      <c r="L171" s="139"/>
      <c r="M171" s="139" t="s">
        <v>279</v>
      </c>
      <c r="N171" s="139" t="s">
        <v>280</v>
      </c>
      <c r="O171" s="139" t="s">
        <v>281</v>
      </c>
      <c r="P171" s="139" t="s">
        <v>282</v>
      </c>
      <c r="Q171" s="139" t="s">
        <v>283</v>
      </c>
    </row>
    <row r="172" spans="2:20" x14ac:dyDescent="0.35">
      <c r="B172" t="s">
        <v>276</v>
      </c>
      <c r="C172">
        <v>1</v>
      </c>
      <c r="D172">
        <v>1.9375182733846433E-2</v>
      </c>
      <c r="E172">
        <v>1.9375182733846433E-2</v>
      </c>
      <c r="F172">
        <v>17.441305444513969</v>
      </c>
      <c r="G172">
        <v>6.216096557930167E-5</v>
      </c>
      <c r="L172" t="s">
        <v>276</v>
      </c>
      <c r="M172">
        <v>1</v>
      </c>
      <c r="N172">
        <v>1.0424128749757455E-2</v>
      </c>
      <c r="O172">
        <v>1.0424128749757455E-2</v>
      </c>
      <c r="P172">
        <v>16.80037136445754</v>
      </c>
      <c r="Q172">
        <v>8.3001740403840994E-5</v>
      </c>
    </row>
    <row r="173" spans="2:20" x14ac:dyDescent="0.35">
      <c r="B173" t="s">
        <v>277</v>
      </c>
      <c r="C173">
        <v>103</v>
      </c>
      <c r="D173">
        <v>0.11442055343477157</v>
      </c>
      <c r="E173">
        <v>1.110879159560889E-3</v>
      </c>
      <c r="L173" t="s">
        <v>277</v>
      </c>
      <c r="M173">
        <v>103</v>
      </c>
      <c r="N173">
        <v>6.3908424280220408E-2</v>
      </c>
      <c r="O173">
        <v>6.2047013864291662E-4</v>
      </c>
    </row>
    <row r="174" spans="2:20" ht="15" thickBot="1" x14ac:dyDescent="0.4">
      <c r="B174" s="138" t="s">
        <v>26</v>
      </c>
      <c r="C174" s="138">
        <v>104</v>
      </c>
      <c r="D174" s="138">
        <v>0.13379573616861801</v>
      </c>
      <c r="E174" s="138"/>
      <c r="F174" s="138"/>
      <c r="G174" s="138"/>
      <c r="L174" s="138" t="s">
        <v>26</v>
      </c>
      <c r="M174" s="138">
        <v>104</v>
      </c>
      <c r="N174" s="138">
        <v>7.4332553029977863E-2</v>
      </c>
      <c r="O174" s="138"/>
      <c r="P174" s="138"/>
      <c r="Q174" s="138"/>
    </row>
    <row r="175" spans="2:20" ht="15" thickBot="1" x14ac:dyDescent="0.4"/>
    <row r="176" spans="2:20" x14ac:dyDescent="0.35">
      <c r="B176" s="139"/>
      <c r="C176" s="139" t="s">
        <v>284</v>
      </c>
      <c r="D176" s="139" t="s">
        <v>273</v>
      </c>
      <c r="E176" s="139" t="s">
        <v>285</v>
      </c>
      <c r="F176" s="139" t="s">
        <v>286</v>
      </c>
      <c r="G176" s="139" t="s">
        <v>287</v>
      </c>
      <c r="H176" s="139" t="s">
        <v>288</v>
      </c>
      <c r="I176" s="139" t="s">
        <v>289</v>
      </c>
      <c r="J176" s="139" t="s">
        <v>290</v>
      </c>
      <c r="L176" s="139"/>
      <c r="M176" s="139" t="s">
        <v>284</v>
      </c>
      <c r="N176" s="139" t="s">
        <v>273</v>
      </c>
      <c r="O176" s="139" t="s">
        <v>285</v>
      </c>
      <c r="P176" s="139" t="s">
        <v>286</v>
      </c>
      <c r="Q176" s="139" t="s">
        <v>287</v>
      </c>
      <c r="R176" s="139" t="s">
        <v>288</v>
      </c>
      <c r="S176" s="139" t="s">
        <v>289</v>
      </c>
      <c r="T176" s="139" t="s">
        <v>290</v>
      </c>
    </row>
    <row r="177" spans="2:20" x14ac:dyDescent="0.35">
      <c r="B177" t="s">
        <v>278</v>
      </c>
      <c r="C177">
        <v>6.6000398523134891E-4</v>
      </c>
      <c r="D177">
        <v>3.3112724459918503E-3</v>
      </c>
      <c r="E177">
        <v>0.19932035070996793</v>
      </c>
      <c r="F177">
        <v>0.84240511224165671</v>
      </c>
      <c r="G177">
        <v>-5.9071239304806025E-3</v>
      </c>
      <c r="H177">
        <v>7.2271319009433004E-3</v>
      </c>
      <c r="I177">
        <v>-5.9071239304806025E-3</v>
      </c>
      <c r="J177">
        <v>7.2271319009433004E-3</v>
      </c>
      <c r="L177" t="s">
        <v>278</v>
      </c>
      <c r="M177">
        <v>-1.9537497397158249E-3</v>
      </c>
      <c r="N177">
        <v>2.4746965228454689E-3</v>
      </c>
      <c r="O177">
        <v>-0.78949063922769558</v>
      </c>
      <c r="P177">
        <v>0.43163897017457931</v>
      </c>
      <c r="Q177">
        <v>-6.8617266226708006E-3</v>
      </c>
      <c r="R177">
        <v>2.9542271432391504E-3</v>
      </c>
      <c r="S177">
        <v>-6.8617266226708006E-3</v>
      </c>
      <c r="T177">
        <v>2.9542271432391504E-3</v>
      </c>
    </row>
    <row r="178" spans="2:20" ht="15" thickBot="1" x14ac:dyDescent="0.4">
      <c r="B178" s="138" t="s">
        <v>291</v>
      </c>
      <c r="C178" s="138">
        <v>0.81397526085761729</v>
      </c>
      <c r="D178" s="138">
        <v>0.19490443059233628</v>
      </c>
      <c r="E178" s="138">
        <v>4.1762788992731243</v>
      </c>
      <c r="F178" s="138">
        <v>6.2160965579301995E-5</v>
      </c>
      <c r="G178" s="138">
        <v>0.42742829200634919</v>
      </c>
      <c r="H178" s="138">
        <v>1.2005222297088853</v>
      </c>
      <c r="I178" s="138">
        <v>0.42742829200634919</v>
      </c>
      <c r="J178" s="138">
        <v>1.2005222297088853</v>
      </c>
      <c r="L178" s="138" t="s">
        <v>291</v>
      </c>
      <c r="M178" s="138">
        <v>0.59704653932833529</v>
      </c>
      <c r="N178" s="138">
        <v>0.14566283038952865</v>
      </c>
      <c r="O178" s="138">
        <v>4.0988256079586352</v>
      </c>
      <c r="P178" s="138">
        <v>8.300174040384342E-5</v>
      </c>
      <c r="Q178" s="138">
        <v>0.30815867059056512</v>
      </c>
      <c r="R178" s="138">
        <v>0.88593440806610546</v>
      </c>
      <c r="S178" s="138">
        <v>0.30815867059056512</v>
      </c>
      <c r="T178" s="138">
        <v>0.88593440806610546</v>
      </c>
    </row>
  </sheetData>
  <mergeCells count="11">
    <mergeCell ref="B5:D5"/>
    <mergeCell ref="R117:S117"/>
    <mergeCell ref="F5:G5"/>
    <mergeCell ref="I5:J5"/>
    <mergeCell ref="L5:M5"/>
    <mergeCell ref="O5:P5"/>
    <mergeCell ref="F117:G117"/>
    <mergeCell ref="I117:J117"/>
    <mergeCell ref="L117:M117"/>
    <mergeCell ref="O117:P117"/>
    <mergeCell ref="R5:S5"/>
  </mergeCells>
  <phoneticPr fontId="23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62FF-969D-4A67-8FB1-87AD7B9677C0}">
  <sheetPr>
    <tabColor rgb="FF002060"/>
  </sheetPr>
  <dimension ref="A5:L70"/>
  <sheetViews>
    <sheetView showGridLines="0" topLeftCell="A54" zoomScale="90" workbookViewId="0">
      <selection activeCell="H70" sqref="H70"/>
    </sheetView>
  </sheetViews>
  <sheetFormatPr defaultRowHeight="14.5" x14ac:dyDescent="0.35"/>
  <cols>
    <col min="1" max="1" width="1.81640625" customWidth="1"/>
    <col min="2" max="2" width="15.36328125" customWidth="1"/>
    <col min="4" max="4" width="12.26953125" customWidth="1"/>
    <col min="5" max="6" width="12.81640625" customWidth="1"/>
    <col min="7" max="7" width="13.81640625" customWidth="1"/>
    <col min="8" max="8" width="13.36328125" customWidth="1"/>
    <col min="9" max="11" width="9.54296875" bestFit="1" customWidth="1"/>
  </cols>
  <sheetData>
    <row r="5" spans="2:12" x14ac:dyDescent="0.35">
      <c r="B5" s="222" t="s">
        <v>312</v>
      </c>
      <c r="C5" s="222"/>
      <c r="D5" s="222"/>
      <c r="E5" s="222"/>
      <c r="F5" s="222"/>
      <c r="G5" s="222"/>
      <c r="H5" s="222"/>
      <c r="I5" s="176"/>
      <c r="J5" s="176"/>
      <c r="K5" s="176"/>
      <c r="L5" s="176"/>
    </row>
    <row r="7" spans="2:12" x14ac:dyDescent="0.35">
      <c r="B7" s="153" t="s">
        <v>311</v>
      </c>
      <c r="C7" s="153"/>
      <c r="D7" s="155">
        <f>'Data Sheet'!F56</f>
        <v>43921</v>
      </c>
      <c r="E7" s="155">
        <f>'Data Sheet'!G56</f>
        <v>44286</v>
      </c>
      <c r="F7" s="155">
        <f>'Data Sheet'!H56</f>
        <v>44651</v>
      </c>
      <c r="G7" s="155">
        <f>'Data Sheet'!I56</f>
        <v>45016</v>
      </c>
      <c r="H7" s="155">
        <f>'Data Sheet'!J56</f>
        <v>45382</v>
      </c>
    </row>
    <row r="9" spans="2:12" x14ac:dyDescent="0.35">
      <c r="B9" s="118" t="s">
        <v>313</v>
      </c>
      <c r="C9" s="69"/>
      <c r="D9" s="69"/>
      <c r="E9" s="69"/>
      <c r="F9" s="69"/>
      <c r="G9" s="69"/>
      <c r="H9" s="69"/>
    </row>
    <row r="10" spans="2:12" x14ac:dyDescent="0.35">
      <c r="B10" s="169" t="str">
        <f>'Raw FS'!B36</f>
        <v>Inventories</v>
      </c>
      <c r="C10" s="169"/>
      <c r="D10" s="170">
        <f>'Raw FS'!G36</f>
        <v>2767</v>
      </c>
      <c r="E10" s="170">
        <f>'Raw FS'!H36</f>
        <v>3579</v>
      </c>
      <c r="F10" s="170">
        <f>'Raw FS'!I36</f>
        <v>4096</v>
      </c>
      <c r="G10" s="170">
        <f>'Raw FS'!J36</f>
        <v>4251</v>
      </c>
      <c r="H10" s="170">
        <f>'Raw FS'!K36</f>
        <v>4022</v>
      </c>
    </row>
    <row r="11" spans="2:12" x14ac:dyDescent="0.35">
      <c r="B11" s="169" t="str">
        <f>'Raw FS'!B37</f>
        <v>Trade receivables </v>
      </c>
      <c r="C11" s="169"/>
      <c r="D11" s="170">
        <f>'Raw FS'!G37</f>
        <v>1149</v>
      </c>
      <c r="E11" s="170">
        <f>'Raw FS'!H37</f>
        <v>1758</v>
      </c>
      <c r="F11" s="170">
        <f>'Raw FS'!I37</f>
        <v>2236</v>
      </c>
      <c r="G11" s="170">
        <f>'Raw FS'!J37</f>
        <v>3079</v>
      </c>
      <c r="H11" s="170">
        <f>'Raw FS'!K37</f>
        <v>2997</v>
      </c>
    </row>
    <row r="12" spans="2:12" x14ac:dyDescent="0.35">
      <c r="B12" s="169" t="str">
        <f>'Raw FS'!B38</f>
        <v>Cash Equivalents</v>
      </c>
      <c r="C12" s="169"/>
      <c r="D12" s="170">
        <f>'Raw FS'!G38</f>
        <v>5113</v>
      </c>
      <c r="E12" s="170">
        <f>'Raw FS'!H38</f>
        <v>4471</v>
      </c>
      <c r="F12" s="170">
        <f>'Raw FS'!I38</f>
        <v>3846</v>
      </c>
      <c r="G12" s="170">
        <f>'Raw FS'!J38</f>
        <v>4678</v>
      </c>
      <c r="H12" s="170">
        <f>'Raw FS'!K38</f>
        <v>7559</v>
      </c>
    </row>
    <row r="13" spans="2:12" x14ac:dyDescent="0.35">
      <c r="B13" s="169" t="str">
        <f>'Raw FS'!B39</f>
        <v>Loans n Advances</v>
      </c>
      <c r="C13" s="169"/>
      <c r="D13" s="170">
        <f>'Raw FS'!G39</f>
        <v>19</v>
      </c>
      <c r="E13" s="170">
        <f>'Raw FS'!H39</f>
        <v>78</v>
      </c>
      <c r="F13" s="170">
        <f>'Raw FS'!I39</f>
        <v>170</v>
      </c>
      <c r="G13" s="170">
        <f>'Raw FS'!J39</f>
        <v>188</v>
      </c>
      <c r="H13" s="170">
        <f>'Raw FS'!K39</f>
        <v>172</v>
      </c>
    </row>
    <row r="14" spans="2:12" ht="15" thickBot="1" x14ac:dyDescent="0.4">
      <c r="B14" s="169" t="str">
        <f>'Raw FS'!B40</f>
        <v>Other asset items</v>
      </c>
      <c r="C14" s="169"/>
      <c r="D14" s="170">
        <f>'Raw FS'!G40</f>
        <v>3774</v>
      </c>
      <c r="E14" s="170">
        <f>'Raw FS'!H40</f>
        <v>3957</v>
      </c>
      <c r="F14" s="170">
        <f>'Raw FS'!I40</f>
        <v>3851</v>
      </c>
      <c r="G14" s="170">
        <f>'Raw FS'!J40</f>
        <v>4189</v>
      </c>
      <c r="H14" s="170">
        <f>'Raw FS'!K40</f>
        <v>4345</v>
      </c>
    </row>
    <row r="15" spans="2:12" ht="15" thickBot="1" x14ac:dyDescent="0.4">
      <c r="B15" s="172" t="s">
        <v>345</v>
      </c>
      <c r="C15" s="172"/>
      <c r="D15" s="180">
        <f>SUM(D10:D14)</f>
        <v>12822</v>
      </c>
      <c r="E15" s="180">
        <f t="shared" ref="E15:H15" si="0">SUM(E10:E14)</f>
        <v>13843</v>
      </c>
      <c r="F15" s="180">
        <f t="shared" si="0"/>
        <v>14199</v>
      </c>
      <c r="G15" s="180">
        <f t="shared" si="0"/>
        <v>16385</v>
      </c>
      <c r="H15" s="180">
        <f t="shared" si="0"/>
        <v>19095</v>
      </c>
    </row>
    <row r="16" spans="2:12" x14ac:dyDescent="0.35">
      <c r="B16" s="169"/>
      <c r="C16" s="169"/>
      <c r="D16" s="169"/>
      <c r="E16" s="169"/>
      <c r="F16" s="169"/>
      <c r="G16" s="169"/>
      <c r="H16" s="169"/>
    </row>
    <row r="17" spans="1:8" x14ac:dyDescent="0.35">
      <c r="B17" s="177" t="s">
        <v>346</v>
      </c>
      <c r="C17" s="174"/>
      <c r="D17" s="174"/>
      <c r="E17" s="174"/>
      <c r="F17" s="174"/>
      <c r="G17" s="174"/>
      <c r="H17" s="174"/>
    </row>
    <row r="18" spans="1:8" x14ac:dyDescent="0.35">
      <c r="B18" s="169" t="str">
        <f>'Raw FS'!B13</f>
        <v>Trade Payables</v>
      </c>
      <c r="C18" s="169"/>
      <c r="D18" s="170">
        <f>'Raw FS'!G13</f>
        <v>7535</v>
      </c>
      <c r="E18" s="170">
        <f>'Raw FS'!H13</f>
        <v>8802</v>
      </c>
      <c r="F18" s="170">
        <f>'Raw FS'!I13</f>
        <v>9068</v>
      </c>
      <c r="G18" s="170">
        <f>'Raw FS'!J13</f>
        <v>9574</v>
      </c>
      <c r="H18" s="170">
        <f>'Raw FS'!K13</f>
        <v>10486</v>
      </c>
    </row>
    <row r="19" spans="1:8" x14ac:dyDescent="0.35">
      <c r="B19" s="169" t="str">
        <f>'Raw FS'!B14</f>
        <v>Advance from Customers</v>
      </c>
      <c r="C19" s="169"/>
      <c r="D19" s="170">
        <f>'Raw FS'!G14</f>
        <v>158</v>
      </c>
      <c r="E19" s="170">
        <f>'Raw FS'!H14</f>
        <v>96</v>
      </c>
      <c r="F19" s="170">
        <f>'Raw FS'!I14</f>
        <v>119</v>
      </c>
      <c r="G19" s="170">
        <f>'Raw FS'!J14</f>
        <v>98</v>
      </c>
      <c r="H19" s="170">
        <f>'Raw FS'!K14</f>
        <v>91</v>
      </c>
    </row>
    <row r="20" spans="1:8" ht="15" thickBot="1" x14ac:dyDescent="0.4">
      <c r="B20" s="169" t="str">
        <f>'Raw FS'!B15</f>
        <v>Other liability items</v>
      </c>
      <c r="C20" s="169"/>
      <c r="D20" s="170">
        <f>'Raw FS'!G15</f>
        <v>4214</v>
      </c>
      <c r="E20" s="170">
        <f>'Raw FS'!H15</f>
        <v>12148</v>
      </c>
      <c r="F20" s="170">
        <f>'Raw FS'!I15</f>
        <v>11189</v>
      </c>
      <c r="G20" s="170">
        <f>'Raw FS'!J15</f>
        <v>11664</v>
      </c>
      <c r="H20" s="170">
        <f>'Raw FS'!K15</f>
        <v>15005</v>
      </c>
    </row>
    <row r="21" spans="1:8" ht="15" thickBot="1" x14ac:dyDescent="0.4">
      <c r="B21" s="172" t="s">
        <v>345</v>
      </c>
      <c r="C21" s="172"/>
      <c r="D21" s="180">
        <f>SUM(D16:D20)</f>
        <v>11907</v>
      </c>
      <c r="E21" s="180">
        <f t="shared" ref="E21" si="1">SUM(E16:E20)</f>
        <v>21046</v>
      </c>
      <c r="F21" s="180">
        <f t="shared" ref="F21" si="2">SUM(F16:F20)</f>
        <v>20376</v>
      </c>
      <c r="G21" s="180">
        <f t="shared" ref="G21" si="3">SUM(G16:G20)</f>
        <v>21336</v>
      </c>
      <c r="H21" s="180">
        <f t="shared" ref="H21" si="4">SUM(H16:H20)</f>
        <v>25582</v>
      </c>
    </row>
    <row r="22" spans="1:8" ht="15" thickBot="1" x14ac:dyDescent="0.4">
      <c r="B22" s="169"/>
      <c r="C22" s="169"/>
      <c r="D22" s="169"/>
      <c r="E22" s="169"/>
      <c r="F22" s="169"/>
      <c r="G22" s="169"/>
      <c r="H22" s="169"/>
    </row>
    <row r="23" spans="1:8" ht="15" thickBot="1" x14ac:dyDescent="0.4">
      <c r="A23" t="s">
        <v>96</v>
      </c>
      <c r="B23" s="172" t="s">
        <v>347</v>
      </c>
      <c r="C23" s="172"/>
      <c r="D23" s="172">
        <f>D15-D21</f>
        <v>915</v>
      </c>
      <c r="E23" s="172">
        <f t="shared" ref="E23:H23" si="5">E15-E21</f>
        <v>-7203</v>
      </c>
      <c r="F23" s="172">
        <f t="shared" si="5"/>
        <v>-6177</v>
      </c>
      <c r="G23" s="172">
        <f t="shared" si="5"/>
        <v>-4951</v>
      </c>
      <c r="H23" s="172">
        <f t="shared" si="5"/>
        <v>-6487</v>
      </c>
    </row>
    <row r="24" spans="1:8" x14ac:dyDescent="0.35">
      <c r="B24" s="169"/>
      <c r="C24" s="169"/>
      <c r="D24" s="169"/>
      <c r="E24" s="169"/>
      <c r="F24" s="169"/>
      <c r="G24" s="169"/>
      <c r="H24" s="169"/>
    </row>
    <row r="25" spans="1:8" x14ac:dyDescent="0.35">
      <c r="B25" s="177" t="s">
        <v>348</v>
      </c>
      <c r="C25" s="174"/>
      <c r="D25" s="174"/>
      <c r="E25" s="174"/>
      <c r="F25" s="174"/>
      <c r="G25" s="174"/>
      <c r="H25" s="174"/>
    </row>
    <row r="26" spans="1:8" x14ac:dyDescent="0.35">
      <c r="B26" s="169" t="str">
        <f>'Raw FS'!B19</f>
        <v>Land</v>
      </c>
      <c r="C26" s="169"/>
      <c r="D26" s="170">
        <f>'Raw FS'!G19</f>
        <v>59</v>
      </c>
      <c r="E26" s="170">
        <f>'Raw FS'!H19</f>
        <v>477</v>
      </c>
      <c r="F26" s="170">
        <f>'Raw FS'!I19</f>
        <v>477</v>
      </c>
      <c r="G26" s="170">
        <f>'Raw FS'!J19</f>
        <v>609</v>
      </c>
      <c r="H26" s="170">
        <f>'Raw FS'!K19</f>
        <v>618</v>
      </c>
    </row>
    <row r="27" spans="1:8" x14ac:dyDescent="0.35">
      <c r="B27" s="169" t="str">
        <f>'Raw FS'!B20</f>
        <v>Building</v>
      </c>
      <c r="C27" s="169"/>
      <c r="D27" s="170">
        <f>'Raw FS'!G20</f>
        <v>2044</v>
      </c>
      <c r="E27" s="170">
        <f>'Raw FS'!H20</f>
        <v>2602</v>
      </c>
      <c r="F27" s="170">
        <f>'Raw FS'!I20</f>
        <v>2788</v>
      </c>
      <c r="G27" s="170">
        <f>'Raw FS'!J20</f>
        <v>3101</v>
      </c>
      <c r="H27" s="170">
        <f>'Raw FS'!K20</f>
        <v>3518</v>
      </c>
    </row>
    <row r="28" spans="1:8" x14ac:dyDescent="0.35">
      <c r="B28" s="169" t="str">
        <f>'Raw FS'!B21</f>
        <v>Plant Machinery</v>
      </c>
      <c r="C28" s="169"/>
      <c r="D28" s="170">
        <f>'Raw FS'!G21</f>
        <v>5001</v>
      </c>
      <c r="E28" s="170">
        <f>'Raw FS'!H21</f>
        <v>6097</v>
      </c>
      <c r="F28" s="170">
        <f>'Raw FS'!I21</f>
        <v>6566</v>
      </c>
      <c r="G28" s="170">
        <f>'Raw FS'!J21</f>
        <v>7612</v>
      </c>
      <c r="H28" s="170">
        <f>'Raw FS'!K21</f>
        <v>8832</v>
      </c>
    </row>
    <row r="29" spans="1:8" x14ac:dyDescent="0.35">
      <c r="B29" s="169" t="str">
        <f>'Raw FS'!B22</f>
        <v>Equipments</v>
      </c>
      <c r="C29" s="169"/>
      <c r="D29" s="170">
        <f>'Raw FS'!G22</f>
        <v>139</v>
      </c>
      <c r="E29" s="170">
        <f>'Raw FS'!H22</f>
        <v>175</v>
      </c>
      <c r="F29" s="170">
        <f>'Raw FS'!I22</f>
        <v>181</v>
      </c>
      <c r="G29" s="170">
        <f>'Raw FS'!J22</f>
        <v>185</v>
      </c>
      <c r="H29" s="170">
        <f>'Raw FS'!K22</f>
        <v>206</v>
      </c>
    </row>
    <row r="30" spans="1:8" x14ac:dyDescent="0.35">
      <c r="B30" s="169" t="str">
        <f>'Raw FS'!B23</f>
        <v>Furniture n fittings</v>
      </c>
      <c r="C30" s="169"/>
      <c r="D30" s="170">
        <f>'Raw FS'!G23</f>
        <v>154</v>
      </c>
      <c r="E30" s="170">
        <f>'Raw FS'!H23</f>
        <v>156</v>
      </c>
      <c r="F30" s="170">
        <f>'Raw FS'!I23</f>
        <v>152</v>
      </c>
      <c r="G30" s="170">
        <f>'Raw FS'!J23</f>
        <v>161</v>
      </c>
      <c r="H30" s="170">
        <f>'Raw FS'!K23</f>
        <v>165</v>
      </c>
    </row>
    <row r="31" spans="1:8" x14ac:dyDescent="0.35">
      <c r="B31" s="169" t="str">
        <f>'Raw FS'!B24</f>
        <v>Railway sidings</v>
      </c>
      <c r="C31" s="169"/>
      <c r="D31" s="170">
        <f>'Raw FS'!G24</f>
        <v>0</v>
      </c>
      <c r="E31" s="170">
        <f>'Raw FS'!H24</f>
        <v>0</v>
      </c>
      <c r="F31" s="170">
        <f>'Raw FS'!I24</f>
        <v>0</v>
      </c>
      <c r="G31" s="170">
        <f>'Raw FS'!J24</f>
        <v>0</v>
      </c>
      <c r="H31" s="170">
        <f>'Raw FS'!K24</f>
        <v>0</v>
      </c>
    </row>
    <row r="32" spans="1:8" x14ac:dyDescent="0.35">
      <c r="B32" s="169" t="str">
        <f>'Raw FS'!B25</f>
        <v>Vehicles</v>
      </c>
      <c r="C32" s="169"/>
      <c r="D32" s="170">
        <f>'Raw FS'!G25</f>
        <v>0</v>
      </c>
      <c r="E32" s="170">
        <f>'Raw FS'!H25</f>
        <v>0</v>
      </c>
      <c r="F32" s="170">
        <f>'Raw FS'!I25</f>
        <v>0</v>
      </c>
      <c r="G32" s="170">
        <f>'Raw FS'!J25</f>
        <v>33</v>
      </c>
      <c r="H32" s="170">
        <f>'Raw FS'!K25</f>
        <v>37</v>
      </c>
    </row>
    <row r="33" spans="1:8" x14ac:dyDescent="0.35">
      <c r="B33" s="169" t="str">
        <f>'Raw FS'!B26</f>
        <v>Intangible Assets</v>
      </c>
      <c r="C33" s="169"/>
      <c r="D33" s="170">
        <f>'Raw FS'!G26</f>
        <v>511</v>
      </c>
      <c r="E33" s="170">
        <f>'Raw FS'!H26</f>
        <v>45262</v>
      </c>
      <c r="F33" s="170">
        <f>'Raw FS'!I26</f>
        <v>45262</v>
      </c>
      <c r="G33" s="170">
        <f>'Raw FS'!J26</f>
        <v>45692</v>
      </c>
      <c r="H33" s="170">
        <f>'Raw FS'!K26</f>
        <v>45692</v>
      </c>
    </row>
    <row r="34" spans="1:8" x14ac:dyDescent="0.35">
      <c r="B34" s="169" t="str">
        <f>'Raw FS'!B27</f>
        <v>Other fixed assets</v>
      </c>
      <c r="C34" s="169"/>
      <c r="D34" s="170">
        <f>'Raw FS'!G27</f>
        <v>71</v>
      </c>
      <c r="E34" s="170">
        <f>'Raw FS'!H27</f>
        <v>155</v>
      </c>
      <c r="F34" s="170">
        <f>'Raw FS'!I27</f>
        <v>152</v>
      </c>
      <c r="G34" s="170">
        <f>'Raw FS'!J27</f>
        <v>171</v>
      </c>
      <c r="H34" s="170">
        <f>'Raw FS'!K27</f>
        <v>180</v>
      </c>
    </row>
    <row r="35" spans="1:8" x14ac:dyDescent="0.35">
      <c r="B35" s="169" t="str">
        <f>'Raw FS'!B28</f>
        <v>Gross Block</v>
      </c>
      <c r="C35" s="169"/>
      <c r="D35" s="170">
        <f>SUM(D26:D34)</f>
        <v>7979</v>
      </c>
      <c r="E35" s="170">
        <f t="shared" ref="E35:H35" si="6">SUM(E26:E34)</f>
        <v>54924</v>
      </c>
      <c r="F35" s="170">
        <f t="shared" si="6"/>
        <v>55578</v>
      </c>
      <c r="G35" s="170">
        <f t="shared" si="6"/>
        <v>57564</v>
      </c>
      <c r="H35" s="170">
        <f t="shared" si="6"/>
        <v>59248</v>
      </c>
    </row>
    <row r="36" spans="1:8" ht="15" thickBot="1" x14ac:dyDescent="0.4">
      <c r="B36" s="169" t="str">
        <f>'Raw FS'!B29</f>
        <v>Accumulated Depreciation</v>
      </c>
      <c r="C36" s="169"/>
      <c r="D36" s="170">
        <f>'Raw FS'!G29</f>
        <v>2500</v>
      </c>
      <c r="E36" s="170">
        <f>'Raw FS'!H29</f>
        <v>3481</v>
      </c>
      <c r="F36" s="170">
        <f>'Raw FS'!I29</f>
        <v>4105</v>
      </c>
      <c r="G36" s="170">
        <f>'Raw FS'!J29</f>
        <v>4886</v>
      </c>
      <c r="H36" s="170">
        <f>'Raw FS'!K29</f>
        <v>5504</v>
      </c>
    </row>
    <row r="37" spans="1:8" ht="15" thickBot="1" x14ac:dyDescent="0.4">
      <c r="B37" s="172" t="s">
        <v>349</v>
      </c>
      <c r="C37" s="172"/>
      <c r="D37" s="180">
        <f>SUM(D26:D35)-D36</f>
        <v>13458</v>
      </c>
      <c r="E37" s="180">
        <f t="shared" ref="E37:H37" si="7">SUM(E26:E35)-E36</f>
        <v>106367</v>
      </c>
      <c r="F37" s="180">
        <f t="shared" si="7"/>
        <v>107051</v>
      </c>
      <c r="G37" s="180">
        <f t="shared" si="7"/>
        <v>110242</v>
      </c>
      <c r="H37" s="180">
        <f t="shared" si="7"/>
        <v>112992</v>
      </c>
    </row>
    <row r="38" spans="1:8" x14ac:dyDescent="0.35">
      <c r="B38" s="169"/>
      <c r="C38" s="169"/>
      <c r="D38" s="169"/>
      <c r="E38" s="169"/>
      <c r="F38" s="169"/>
      <c r="G38" s="169"/>
      <c r="H38" s="169"/>
    </row>
    <row r="39" spans="1:8" x14ac:dyDescent="0.35">
      <c r="A39" t="s">
        <v>96</v>
      </c>
      <c r="B39" s="175" t="s">
        <v>350</v>
      </c>
      <c r="C39" s="175"/>
      <c r="D39" s="179">
        <f>D37+D23</f>
        <v>14373</v>
      </c>
      <c r="E39" s="179">
        <f t="shared" ref="E39:H39" si="8">E37+E23</f>
        <v>99164</v>
      </c>
      <c r="F39" s="179">
        <f t="shared" si="8"/>
        <v>100874</v>
      </c>
      <c r="G39" s="179">
        <f t="shared" si="8"/>
        <v>105291</v>
      </c>
      <c r="H39" s="179">
        <f t="shared" si="8"/>
        <v>106505</v>
      </c>
    </row>
    <row r="40" spans="1:8" x14ac:dyDescent="0.35">
      <c r="B40" s="175" t="s">
        <v>351</v>
      </c>
      <c r="C40" s="175"/>
      <c r="D40" s="179">
        <f>'Historical FS'!F27+'Historical FS'!G21</f>
        <v>8400</v>
      </c>
      <c r="E40" s="179">
        <f>'Historical FS'!G27+'Historical FS'!H21</f>
        <v>8858</v>
      </c>
      <c r="F40" s="179">
        <f>'Historical FS'!H27+'Historical FS'!I21</f>
        <v>10541</v>
      </c>
      <c r="G40" s="179">
        <f>'Historical FS'!I27+'Historical FS'!J21</f>
        <v>11774</v>
      </c>
      <c r="H40" s="179">
        <f>'Historical FS'!J27+'Historical FS'!K21</f>
        <v>13230</v>
      </c>
    </row>
    <row r="41" spans="1:8" ht="15" thickBot="1" x14ac:dyDescent="0.4">
      <c r="B41" s="169"/>
      <c r="C41" s="169"/>
      <c r="D41" s="169"/>
      <c r="E41" s="169"/>
      <c r="F41" s="169"/>
      <c r="G41" s="169"/>
      <c r="H41" s="169"/>
    </row>
    <row r="42" spans="1:8" ht="15" thickBot="1" x14ac:dyDescent="0.4">
      <c r="B42" s="172" t="s">
        <v>352</v>
      </c>
      <c r="C42" s="172"/>
      <c r="D42" s="190">
        <f>D40/D39</f>
        <v>0.58442913796702145</v>
      </c>
      <c r="E42" s="190">
        <f t="shared" ref="E42:H42" si="9">E40/E39</f>
        <v>8.9326771812351255E-2</v>
      </c>
      <c r="F42" s="190">
        <f t="shared" si="9"/>
        <v>0.10449669885203323</v>
      </c>
      <c r="G42" s="190">
        <f t="shared" si="9"/>
        <v>0.11182342270469461</v>
      </c>
      <c r="H42" s="190">
        <f t="shared" si="9"/>
        <v>0.12421952021031876</v>
      </c>
    </row>
    <row r="43" spans="1:8" x14ac:dyDescent="0.35">
      <c r="B43" s="169"/>
      <c r="C43" s="169"/>
      <c r="D43" s="169"/>
      <c r="E43" s="169"/>
      <c r="F43" s="169"/>
      <c r="G43" s="169"/>
      <c r="H43" s="169"/>
    </row>
    <row r="44" spans="1:8" x14ac:dyDescent="0.35">
      <c r="B44" s="223" t="s">
        <v>353</v>
      </c>
      <c r="C44" s="223"/>
      <c r="D44" s="223"/>
      <c r="E44" s="223"/>
      <c r="F44" s="223"/>
      <c r="G44" s="223"/>
      <c r="H44" s="223"/>
    </row>
    <row r="45" spans="1:8" x14ac:dyDescent="0.35">
      <c r="B45" s="169"/>
      <c r="C45" s="169"/>
      <c r="D45" s="169"/>
      <c r="E45" s="169"/>
      <c r="F45" s="169"/>
      <c r="G45" s="169"/>
      <c r="H45" s="169"/>
    </row>
    <row r="46" spans="1:8" x14ac:dyDescent="0.35">
      <c r="B46" s="178" t="s">
        <v>311</v>
      </c>
      <c r="C46" s="178"/>
      <c r="D46" s="155">
        <f>'Raw FS'!G3</f>
        <v>43921</v>
      </c>
      <c r="E46" s="155">
        <f>'Raw FS'!H3</f>
        <v>44286</v>
      </c>
      <c r="F46" s="155">
        <f>'Raw FS'!I3</f>
        <v>44651</v>
      </c>
      <c r="G46" s="155">
        <f>'Raw FS'!J3</f>
        <v>45016</v>
      </c>
      <c r="H46" s="155">
        <f>'Raw FS'!K3</f>
        <v>45382</v>
      </c>
    </row>
    <row r="47" spans="1:8" x14ac:dyDescent="0.35">
      <c r="B47" s="169"/>
      <c r="C47" s="169"/>
      <c r="D47" s="169"/>
      <c r="E47" s="169"/>
      <c r="F47" s="169"/>
      <c r="G47" s="169"/>
      <c r="H47" s="169"/>
    </row>
    <row r="48" spans="1:8" x14ac:dyDescent="0.35">
      <c r="B48" s="169" t="s">
        <v>354</v>
      </c>
      <c r="C48" s="169"/>
      <c r="D48" s="170">
        <f>-('Cash flow '!G15+'Cash flow '!G16)</f>
        <v>810</v>
      </c>
      <c r="E48" s="170">
        <f>-('Cash flow '!H15+'Cash flow '!H16)</f>
        <v>4066</v>
      </c>
      <c r="F48" s="170">
        <f>-('Cash flow '!I15+'Cash flow '!I16)</f>
        <v>1053</v>
      </c>
      <c r="G48" s="170">
        <f>-('Cash flow '!J15+'Cash flow '!J16)</f>
        <v>1011</v>
      </c>
      <c r="H48" s="170">
        <f>-('Cash flow '!K15+'Cash flow '!K16)</f>
        <v>1457</v>
      </c>
    </row>
    <row r="49" spans="2:8" x14ac:dyDescent="0.35">
      <c r="B49" s="169" t="s">
        <v>355</v>
      </c>
      <c r="C49" s="169"/>
      <c r="D49" s="170"/>
      <c r="E49" s="170">
        <f>E23-D23</f>
        <v>-8118</v>
      </c>
      <c r="F49" s="170">
        <f t="shared" ref="F49:H49" si="10">F23-E23</f>
        <v>1026</v>
      </c>
      <c r="G49" s="170">
        <f t="shared" si="10"/>
        <v>1226</v>
      </c>
      <c r="H49" s="170">
        <f t="shared" si="10"/>
        <v>-1536</v>
      </c>
    </row>
    <row r="50" spans="2:8" x14ac:dyDescent="0.35">
      <c r="B50" s="169"/>
      <c r="C50" s="169"/>
      <c r="D50" s="170"/>
      <c r="E50" s="170"/>
      <c r="F50" s="170"/>
      <c r="G50" s="170"/>
      <c r="H50" s="170"/>
    </row>
    <row r="51" spans="2:8" x14ac:dyDescent="0.35">
      <c r="B51" s="169" t="s">
        <v>351</v>
      </c>
      <c r="C51" s="169"/>
      <c r="D51" s="170">
        <f>D40</f>
        <v>8400</v>
      </c>
      <c r="E51" s="170">
        <f t="shared" ref="E51:H51" si="11">E40</f>
        <v>8858</v>
      </c>
      <c r="F51" s="170">
        <f t="shared" si="11"/>
        <v>10541</v>
      </c>
      <c r="G51" s="170">
        <f t="shared" si="11"/>
        <v>11774</v>
      </c>
      <c r="H51" s="170">
        <f t="shared" si="11"/>
        <v>13230</v>
      </c>
    </row>
    <row r="52" spans="2:8" x14ac:dyDescent="0.35">
      <c r="B52" s="169" t="s">
        <v>356</v>
      </c>
      <c r="C52" s="169"/>
      <c r="D52" s="181">
        <v>0.25</v>
      </c>
      <c r="E52" s="181">
        <v>0.25</v>
      </c>
      <c r="F52" s="181">
        <v>0.25</v>
      </c>
      <c r="G52" s="181">
        <v>0.25</v>
      </c>
      <c r="H52" s="181">
        <v>0.25</v>
      </c>
    </row>
    <row r="53" spans="2:8" x14ac:dyDescent="0.35">
      <c r="B53" s="169" t="s">
        <v>357</v>
      </c>
      <c r="C53" s="169"/>
      <c r="D53" s="170">
        <f>D51*(1-D52)</f>
        <v>6300</v>
      </c>
      <c r="E53" s="170">
        <f t="shared" ref="E53:H53" si="12">E51*(1-E52)</f>
        <v>6643.5</v>
      </c>
      <c r="F53" s="170">
        <f t="shared" si="12"/>
        <v>7905.75</v>
      </c>
      <c r="G53" s="170">
        <f t="shared" si="12"/>
        <v>8830.5</v>
      </c>
      <c r="H53" s="170">
        <f t="shared" si="12"/>
        <v>9922.5</v>
      </c>
    </row>
    <row r="54" spans="2:8" x14ac:dyDescent="0.35">
      <c r="B54" s="169"/>
      <c r="C54" s="169"/>
      <c r="D54" s="170"/>
      <c r="E54" s="170"/>
      <c r="F54" s="170"/>
      <c r="G54" s="170"/>
      <c r="H54" s="170"/>
    </row>
    <row r="55" spans="2:8" x14ac:dyDescent="0.35">
      <c r="B55" s="169" t="s">
        <v>358</v>
      </c>
      <c r="C55" s="169"/>
      <c r="D55" s="170"/>
      <c r="E55" s="170">
        <f t="shared" ref="E55:H55" si="13">SUM(E48:E49)</f>
        <v>-4052</v>
      </c>
      <c r="F55" s="170">
        <f t="shared" si="13"/>
        <v>2079</v>
      </c>
      <c r="G55" s="170">
        <f t="shared" si="13"/>
        <v>2237</v>
      </c>
      <c r="H55" s="170">
        <f t="shared" si="13"/>
        <v>-79</v>
      </c>
    </row>
    <row r="56" spans="2:8" x14ac:dyDescent="0.35">
      <c r="B56" s="169"/>
      <c r="C56" s="169"/>
      <c r="D56" s="170"/>
      <c r="E56" s="170"/>
      <c r="F56" s="170"/>
      <c r="G56" s="170"/>
      <c r="H56" s="170"/>
    </row>
    <row r="57" spans="2:8" x14ac:dyDescent="0.35">
      <c r="B57" s="179" t="s">
        <v>359</v>
      </c>
      <c r="C57" s="179"/>
      <c r="D57" s="179"/>
      <c r="E57" s="182">
        <f>E55/E53</f>
        <v>-0.60991947015880188</v>
      </c>
      <c r="F57" s="182">
        <f t="shared" ref="F57:H57" si="14">F55/F53</f>
        <v>0.262973152452329</v>
      </c>
      <c r="G57" s="182">
        <f t="shared" si="14"/>
        <v>0.25332653870109278</v>
      </c>
      <c r="H57" s="182">
        <f t="shared" si="14"/>
        <v>-7.9617031997984387E-3</v>
      </c>
    </row>
    <row r="59" spans="2:8" x14ac:dyDescent="0.35">
      <c r="G59" s="201" t="s">
        <v>369</v>
      </c>
      <c r="H59" s="189">
        <f>AVERAGE(E57:H57)</f>
        <v>-2.5395370551294635E-2</v>
      </c>
    </row>
    <row r="60" spans="2:8" x14ac:dyDescent="0.35">
      <c r="G60" s="201" t="s">
        <v>370</v>
      </c>
      <c r="H60" s="189">
        <f>MEDIAN(E57:H57)</f>
        <v>0.12268241775064717</v>
      </c>
    </row>
    <row r="62" spans="2:8" x14ac:dyDescent="0.35">
      <c r="B62" s="178" t="s">
        <v>311</v>
      </c>
      <c r="C62" s="178"/>
      <c r="D62" s="155">
        <v>43921</v>
      </c>
      <c r="E62" s="155">
        <v>44286</v>
      </c>
      <c r="F62" s="155">
        <v>44651</v>
      </c>
      <c r="G62" s="155">
        <v>45016</v>
      </c>
      <c r="H62" s="155">
        <v>45382</v>
      </c>
    </row>
    <row r="64" spans="2:8" x14ac:dyDescent="0.35">
      <c r="B64" t="s">
        <v>371</v>
      </c>
      <c r="E64" s="186">
        <f>E57</f>
        <v>-0.60991947015880188</v>
      </c>
      <c r="F64" s="186">
        <f t="shared" ref="F64:H64" si="15">F57</f>
        <v>0.262973152452329</v>
      </c>
      <c r="G64" s="186">
        <f t="shared" si="15"/>
        <v>0.25332653870109278</v>
      </c>
      <c r="H64" s="186">
        <f t="shared" si="15"/>
        <v>-7.9617031997984387E-3</v>
      </c>
    </row>
    <row r="65" spans="2:8" x14ac:dyDescent="0.35">
      <c r="B65" t="s">
        <v>352</v>
      </c>
      <c r="E65" s="91">
        <f>E42</f>
        <v>8.9326771812351255E-2</v>
      </c>
      <c r="F65" s="91">
        <f t="shared" ref="F65:H65" si="16">F42</f>
        <v>0.10449669885203323</v>
      </c>
      <c r="G65" s="91">
        <f t="shared" si="16"/>
        <v>0.11182342270469461</v>
      </c>
      <c r="H65" s="91">
        <f t="shared" si="16"/>
        <v>0.12421952021031876</v>
      </c>
    </row>
    <row r="67" spans="2:8" x14ac:dyDescent="0.35">
      <c r="B67" s="179" t="s">
        <v>372</v>
      </c>
      <c r="C67" s="179"/>
      <c r="D67" s="179"/>
      <c r="E67" s="182">
        <f>E64*E65</f>
        <v>-5.4482137334785477E-2</v>
      </c>
      <c r="F67" s="182">
        <f t="shared" ref="F67:H67" si="17">F64*F65</f>
        <v>2.7479826317980849E-2</v>
      </c>
      <c r="G67" s="182">
        <f t="shared" si="17"/>
        <v>2.8327840619489477E-2</v>
      </c>
      <c r="H67" s="182">
        <f t="shared" si="17"/>
        <v>-9.8899895153592172E-4</v>
      </c>
    </row>
    <row r="69" spans="2:8" x14ac:dyDescent="0.35">
      <c r="G69" s="201" t="s">
        <v>369</v>
      </c>
      <c r="H69" s="147">
        <f>AVERAGE(E67:H67)</f>
        <v>8.4132662787231782E-5</v>
      </c>
    </row>
    <row r="70" spans="2:8" x14ac:dyDescent="0.35">
      <c r="G70" s="201" t="s">
        <v>370</v>
      </c>
      <c r="H70" s="147">
        <f>MEDIAN(E67:H67)</f>
        <v>1.3245413683222462E-2</v>
      </c>
    </row>
  </sheetData>
  <mergeCells count="2">
    <mergeCell ref="B5:H5"/>
    <mergeCell ref="B44:H4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5A39-15B9-43E6-AA17-A0A9AA2D8BFC}">
  <sheetPr>
    <tabColor rgb="FF002060"/>
  </sheetPr>
  <dimension ref="B3:V43"/>
  <sheetViews>
    <sheetView showGridLines="0" zoomScale="96" zoomScaleNormal="96" workbookViewId="0">
      <selection activeCell="N7" sqref="N7"/>
    </sheetView>
  </sheetViews>
  <sheetFormatPr defaultRowHeight="14.5" x14ac:dyDescent="0.35"/>
  <cols>
    <col min="1" max="1" width="1.81640625" customWidth="1"/>
    <col min="2" max="2" width="19" customWidth="1"/>
    <col min="4" max="4" width="20" bestFit="1" customWidth="1"/>
    <col min="5" max="5" width="10.08984375" bestFit="1" customWidth="1"/>
    <col min="6" max="6" width="11.36328125" customWidth="1"/>
    <col min="7" max="7" width="10" customWidth="1"/>
    <col min="8" max="8" width="10.26953125" customWidth="1"/>
    <col min="9" max="9" width="11.81640625" customWidth="1"/>
    <col min="10" max="10" width="10.90625" customWidth="1"/>
    <col min="11" max="11" width="8.81640625" bestFit="1" customWidth="1"/>
    <col min="17" max="17" width="17.453125" customWidth="1"/>
    <col min="18" max="18" width="12" customWidth="1"/>
  </cols>
  <sheetData>
    <row r="3" spans="2:22" x14ac:dyDescent="0.35">
      <c r="S3" t="s">
        <v>393</v>
      </c>
    </row>
    <row r="5" spans="2:22" x14ac:dyDescent="0.35">
      <c r="B5" s="154" t="s">
        <v>360</v>
      </c>
      <c r="C5" s="154"/>
      <c r="D5" s="154"/>
      <c r="E5" s="183">
        <f>'Intrinsic Growth'!H7</f>
        <v>45382</v>
      </c>
      <c r="F5" s="184">
        <f>E5+365</f>
        <v>45747</v>
      </c>
      <c r="G5" s="184">
        <f t="shared" ref="G5:J5" si="0">F5+365</f>
        <v>46112</v>
      </c>
      <c r="H5" s="184">
        <f t="shared" si="0"/>
        <v>46477</v>
      </c>
      <c r="I5" s="184">
        <f t="shared" si="0"/>
        <v>46842</v>
      </c>
      <c r="J5" s="184">
        <f t="shared" si="0"/>
        <v>47207</v>
      </c>
      <c r="K5" s="185"/>
      <c r="P5" s="214">
        <f>D33</f>
        <v>99740.679929836158</v>
      </c>
      <c r="Q5" s="213">
        <v>0.06</v>
      </c>
      <c r="R5" s="91">
        <v>6.5000000000000002E-2</v>
      </c>
      <c r="S5" s="213">
        <v>7.0000000000000007E-2</v>
      </c>
      <c r="T5" s="91">
        <v>7.4999999999999997E-2</v>
      </c>
      <c r="U5" s="213">
        <v>0.08</v>
      </c>
      <c r="V5" s="91">
        <v>8.5000000000000006E-2</v>
      </c>
    </row>
    <row r="6" spans="2:22" x14ac:dyDescent="0.35">
      <c r="P6" s="213">
        <v>0.06</v>
      </c>
      <c r="Q6">
        <f t="dataTable" ref="Q6:V11" dt2D="1" dtr="1" r1="D18" r2="D19"/>
        <v>109485.4602123519</v>
      </c>
      <c r="R6">
        <v>109485.45636560503</v>
      </c>
      <c r="S6">
        <v>109485.45251885813</v>
      </c>
      <c r="T6">
        <v>109485.44867211126</v>
      </c>
      <c r="U6">
        <v>109485.44482536436</v>
      </c>
      <c r="V6">
        <v>109485.44097861747</v>
      </c>
    </row>
    <row r="7" spans="2:22" x14ac:dyDescent="0.35">
      <c r="B7" s="166" t="s">
        <v>351</v>
      </c>
      <c r="C7" s="166"/>
      <c r="D7" s="166"/>
      <c r="E7" s="196">
        <f>'Intrinsic Growth'!H40</f>
        <v>13230</v>
      </c>
      <c r="F7" s="197">
        <f>E7*(1+$D$17)</f>
        <v>13405.236823029034</v>
      </c>
      <c r="G7" s="197">
        <f t="shared" ref="G7:J7" si="1">F7*(1+$D$17)</f>
        <v>13582.79473027162</v>
      </c>
      <c r="H7" s="197">
        <f t="shared" si="1"/>
        <v>13762.704465448363</v>
      </c>
      <c r="I7" s="197">
        <f t="shared" si="1"/>
        <v>13944.997179493161</v>
      </c>
      <c r="J7" s="197">
        <f t="shared" si="1"/>
        <v>14129.704435946918</v>
      </c>
      <c r="P7" s="91">
        <v>6.6000000000000003E-2</v>
      </c>
      <c r="Q7">
        <v>100097.64987126991</v>
      </c>
      <c r="R7" s="142">
        <v>100097.6461209995</v>
      </c>
      <c r="S7">
        <v>100097.6423707291</v>
      </c>
      <c r="T7">
        <v>100097.63862045869</v>
      </c>
      <c r="U7">
        <v>100097.63487018828</v>
      </c>
      <c r="V7">
        <v>100097.63111991786</v>
      </c>
    </row>
    <row r="8" spans="2:22" x14ac:dyDescent="0.35">
      <c r="B8" s="166" t="s">
        <v>252</v>
      </c>
      <c r="C8" s="166"/>
      <c r="D8" s="166"/>
      <c r="E8" s="198">
        <v>0.25</v>
      </c>
      <c r="F8" s="199">
        <v>0.25</v>
      </c>
      <c r="G8" s="199">
        <v>0.25</v>
      </c>
      <c r="H8" s="199">
        <v>0.25</v>
      </c>
      <c r="I8" s="199">
        <v>0.25</v>
      </c>
      <c r="J8" s="199">
        <v>0.25</v>
      </c>
      <c r="P8" s="213">
        <v>7.1999999999999995E-2</v>
      </c>
      <c r="Q8">
        <v>92270.578909148055</v>
      </c>
      <c r="R8">
        <v>92270.575252413197</v>
      </c>
      <c r="S8">
        <v>92270.571595678353</v>
      </c>
      <c r="T8">
        <v>92270.56793894351</v>
      </c>
      <c r="U8">
        <v>92270.564282208667</v>
      </c>
      <c r="V8">
        <v>92270.560625473823</v>
      </c>
    </row>
    <row r="9" spans="2:22" x14ac:dyDescent="0.35">
      <c r="B9" s="166" t="s">
        <v>361</v>
      </c>
      <c r="C9" s="166"/>
      <c r="D9" s="166"/>
      <c r="E9" s="196">
        <f>E7*(1-E8)</f>
        <v>9922.5</v>
      </c>
      <c r="F9" s="197">
        <f t="shared" ref="F9:J9" si="2">F7*(1-F8)</f>
        <v>10053.927617271776</v>
      </c>
      <c r="G9" s="197">
        <f t="shared" si="2"/>
        <v>10187.096047703715</v>
      </c>
      <c r="H9" s="197">
        <f t="shared" si="2"/>
        <v>10322.028349086273</v>
      </c>
      <c r="I9" s="197">
        <f t="shared" si="2"/>
        <v>10458.74788461987</v>
      </c>
      <c r="J9" s="197">
        <f t="shared" si="2"/>
        <v>10597.27832696019</v>
      </c>
      <c r="O9" t="s">
        <v>392</v>
      </c>
      <c r="P9" s="91">
        <v>7.8E-2</v>
      </c>
      <c r="Q9">
        <v>85644.142999495263</v>
      </c>
      <c r="R9">
        <v>85644.139433460441</v>
      </c>
      <c r="S9">
        <v>85644.135867425604</v>
      </c>
      <c r="T9">
        <v>85644.132301390782</v>
      </c>
      <c r="U9">
        <v>85644.128735355946</v>
      </c>
      <c r="V9">
        <v>85644.125169321123</v>
      </c>
    </row>
    <row r="10" spans="2:22" x14ac:dyDescent="0.35">
      <c r="B10" s="166" t="s">
        <v>362</v>
      </c>
      <c r="C10" s="166"/>
      <c r="D10" s="166"/>
      <c r="E10" s="193">
        <f>'Intrinsic Growth'!H60</f>
        <v>0.12268241775064717</v>
      </c>
      <c r="F10" s="202">
        <f>E10+(($J$10-$E$10)/4)</f>
        <v>0.19623681331298537</v>
      </c>
      <c r="G10" s="202">
        <f t="shared" ref="G10:I10" si="3">F10+(($J$10-$E$10)/4)</f>
        <v>0.2697912088753236</v>
      </c>
      <c r="H10" s="202">
        <f t="shared" si="3"/>
        <v>0.34334560443766182</v>
      </c>
      <c r="I10" s="202">
        <f t="shared" si="3"/>
        <v>0.41690000000000005</v>
      </c>
      <c r="J10" s="203">
        <v>0.41689999999999999</v>
      </c>
      <c r="P10" s="213">
        <v>8.4000000000000005E-2</v>
      </c>
      <c r="Q10">
        <v>79961.12318811944</v>
      </c>
      <c r="R10">
        <v>79961.119710050101</v>
      </c>
      <c r="S10">
        <v>79961.116231980777</v>
      </c>
      <c r="T10">
        <v>79961.112753911453</v>
      </c>
      <c r="U10">
        <v>79961.109275842129</v>
      </c>
      <c r="V10">
        <v>79961.105797772791</v>
      </c>
    </row>
    <row r="11" spans="2:22" x14ac:dyDescent="0.35">
      <c r="B11" s="166" t="s">
        <v>363</v>
      </c>
      <c r="C11" s="166"/>
      <c r="D11" s="166"/>
      <c r="E11" s="196">
        <f>E9*(1-E10)</f>
        <v>8705.1837098692031</v>
      </c>
      <c r="F11" s="196">
        <f>F9*(1-F10)</f>
        <v>8080.976900378947</v>
      </c>
      <c r="G11" s="196">
        <f t="shared" ref="G11:J11" si="4">G9*(1-G10)</f>
        <v>7438.7070900646986</v>
      </c>
      <c r="H11" s="196">
        <f t="shared" si="4"/>
        <v>6778.0052865465659</v>
      </c>
      <c r="I11" s="196">
        <f t="shared" si="4"/>
        <v>6098.4958915218458</v>
      </c>
      <c r="J11" s="196">
        <f t="shared" si="4"/>
        <v>6179.2729924504856</v>
      </c>
      <c r="P11" s="91">
        <v>0.09</v>
      </c>
      <c r="Q11">
        <v>75032.890815472609</v>
      </c>
      <c r="R11">
        <v>75032.887422731146</v>
      </c>
      <c r="S11">
        <v>75032.884029989713</v>
      </c>
      <c r="T11">
        <v>75032.88063724828</v>
      </c>
      <c r="U11">
        <v>75032.877244506832</v>
      </c>
      <c r="V11">
        <v>75032.873851765384</v>
      </c>
    </row>
    <row r="12" spans="2:22" x14ac:dyDescent="0.35">
      <c r="B12" s="166" t="s">
        <v>364</v>
      </c>
      <c r="C12" s="166"/>
      <c r="D12" s="166"/>
      <c r="E12" s="192"/>
      <c r="F12" s="200">
        <v>0.5</v>
      </c>
      <c r="G12" s="200">
        <f>F12+1</f>
        <v>1.5</v>
      </c>
      <c r="H12" s="200">
        <f t="shared" ref="H12:J12" si="5">G12+1</f>
        <v>2.5</v>
      </c>
      <c r="I12" s="200">
        <f t="shared" si="5"/>
        <v>3.5</v>
      </c>
      <c r="J12" s="200">
        <f t="shared" si="5"/>
        <v>4.5</v>
      </c>
    </row>
    <row r="13" spans="2:22" x14ac:dyDescent="0.35">
      <c r="B13" s="166" t="s">
        <v>365</v>
      </c>
      <c r="C13" s="166"/>
      <c r="D13" s="166"/>
      <c r="E13" s="192"/>
      <c r="F13" s="204">
        <f>1/(1+$D$19)^F12</f>
        <v>0.96843416088992984</v>
      </c>
      <c r="G13" s="204">
        <f t="shared" ref="G13:J13" si="6">1/(1+$D$19)^G12</f>
        <v>0.90826023699446401</v>
      </c>
      <c r="H13" s="204">
        <f t="shared" si="6"/>
        <v>0.85182523646953467</v>
      </c>
      <c r="I13" s="204">
        <f t="shared" si="6"/>
        <v>0.79889684027949082</v>
      </c>
      <c r="J13" s="204">
        <f t="shared" si="6"/>
        <v>0.74925716459608616</v>
      </c>
    </row>
    <row r="14" spans="2:22" ht="3" customHeight="1" x14ac:dyDescent="0.35">
      <c r="E14" s="194"/>
    </row>
    <row r="15" spans="2:22" ht="15" thickBot="1" x14ac:dyDescent="0.4">
      <c r="B15" s="191" t="s">
        <v>366</v>
      </c>
      <c r="C15" s="187"/>
      <c r="D15" s="187"/>
      <c r="E15" s="195"/>
      <c r="F15" s="206">
        <f>F11*F13</f>
        <v>7825.8940836893917</v>
      </c>
      <c r="G15" s="206">
        <f t="shared" ref="G15:J15" si="7">G11*G13</f>
        <v>6756.2818645545631</v>
      </c>
      <c r="H15" s="206">
        <f t="shared" si="7"/>
        <v>5773.6759560042847</v>
      </c>
      <c r="I15" s="206">
        <f t="shared" si="7"/>
        <v>4872.0690981942589</v>
      </c>
      <c r="J15" s="206">
        <f t="shared" si="7"/>
        <v>4629.8645615886235</v>
      </c>
    </row>
    <row r="17" spans="2:10" x14ac:dyDescent="0.35">
      <c r="B17" s="188" t="s">
        <v>367</v>
      </c>
      <c r="C17" s="188"/>
      <c r="D17" s="147">
        <f>'Intrinsic Growth'!H70</f>
        <v>1.3245413683222462E-2</v>
      </c>
    </row>
    <row r="18" spans="2:10" x14ac:dyDescent="0.35">
      <c r="B18" s="188" t="s">
        <v>368</v>
      </c>
      <c r="C18" s="188"/>
      <c r="D18" s="207">
        <v>6.5000000000000002E-2</v>
      </c>
    </row>
    <row r="19" spans="2:10" x14ac:dyDescent="0.35">
      <c r="B19" s="188" t="s">
        <v>258</v>
      </c>
      <c r="C19" s="188"/>
      <c r="D19" s="147">
        <f>WACC!K39</f>
        <v>6.6251853207389244E-2</v>
      </c>
    </row>
    <row r="21" spans="2:10" x14ac:dyDescent="0.35">
      <c r="B21" s="154" t="s">
        <v>373</v>
      </c>
      <c r="C21" s="154"/>
      <c r="D21" s="154"/>
      <c r="E21" s="154"/>
      <c r="F21" s="154"/>
      <c r="G21" s="154"/>
      <c r="H21" s="154"/>
      <c r="I21" s="154"/>
      <c r="J21" s="154"/>
    </row>
    <row r="23" spans="2:10" x14ac:dyDescent="0.35">
      <c r="B23" t="s">
        <v>374</v>
      </c>
      <c r="D23" s="142">
        <f>J11+D17</f>
        <v>6179.2862378641685</v>
      </c>
    </row>
    <row r="24" spans="2:10" x14ac:dyDescent="0.35">
      <c r="B24" t="s">
        <v>258</v>
      </c>
      <c r="D24" s="5">
        <f>D19</f>
        <v>6.6251853207389244E-2</v>
      </c>
    </row>
    <row r="25" spans="2:10" x14ac:dyDescent="0.35">
      <c r="B25" t="s">
        <v>375</v>
      </c>
      <c r="D25" s="5">
        <f>D18</f>
        <v>6.5000000000000002E-2</v>
      </c>
    </row>
    <row r="26" spans="2:10" ht="4" customHeight="1" x14ac:dyDescent="0.35"/>
    <row r="27" spans="2:10" ht="15" thickBot="1" x14ac:dyDescent="0.4">
      <c r="B27" s="191" t="s">
        <v>376</v>
      </c>
      <c r="C27" s="191"/>
      <c r="D27" s="205">
        <f>D23/D24-D25</f>
        <v>93269.571073741958</v>
      </c>
      <c r="E27" s="191"/>
    </row>
    <row r="29" spans="2:10" x14ac:dyDescent="0.35">
      <c r="B29" s="154" t="s">
        <v>377</v>
      </c>
      <c r="C29" s="154"/>
      <c r="D29" s="154"/>
      <c r="E29" s="154"/>
      <c r="F29" s="154"/>
    </row>
    <row r="30" spans="2:10" x14ac:dyDescent="0.35">
      <c r="B30" s="176"/>
    </row>
    <row r="31" spans="2:10" x14ac:dyDescent="0.35">
      <c r="B31" t="s">
        <v>366</v>
      </c>
      <c r="D31" s="208">
        <f>SUM(F15:J15)</f>
        <v>29857.785564031121</v>
      </c>
    </row>
    <row r="32" spans="2:10" x14ac:dyDescent="0.35">
      <c r="B32" t="s">
        <v>378</v>
      </c>
      <c r="D32" s="142">
        <f>D27*J13</f>
        <v>69882.894365805041</v>
      </c>
    </row>
    <row r="33" spans="2:5" x14ac:dyDescent="0.35">
      <c r="B33" s="2" t="s">
        <v>379</v>
      </c>
      <c r="C33" s="2"/>
      <c r="D33" s="209">
        <f>SUM(D32,D31)</f>
        <v>99740.679929836158</v>
      </c>
      <c r="E33" s="2"/>
    </row>
    <row r="35" spans="2:5" x14ac:dyDescent="0.35">
      <c r="B35" t="s">
        <v>380</v>
      </c>
      <c r="D35" s="208">
        <f>'Raw FS'!I38</f>
        <v>3846</v>
      </c>
    </row>
    <row r="36" spans="2:5" x14ac:dyDescent="0.35">
      <c r="B36" t="s">
        <v>381</v>
      </c>
      <c r="D36" s="208">
        <f>SUM('Raw FS'!K8:K9)</f>
        <v>13</v>
      </c>
    </row>
    <row r="37" spans="2:5" x14ac:dyDescent="0.35">
      <c r="B37" t="s">
        <v>382</v>
      </c>
      <c r="D37" s="208">
        <f>D33+D35-D36</f>
        <v>103573.67992983616</v>
      </c>
    </row>
    <row r="38" spans="2:5" x14ac:dyDescent="0.35">
      <c r="B38" t="s">
        <v>383</v>
      </c>
      <c r="D38" s="208">
        <f>'Data Sheet'!B6</f>
        <v>234.95912259301213</v>
      </c>
    </row>
    <row r="39" spans="2:5" ht="3" customHeight="1" x14ac:dyDescent="0.35"/>
    <row r="40" spans="2:5" ht="15" thickBot="1" x14ac:dyDescent="0.4">
      <c r="B40" s="191" t="s">
        <v>384</v>
      </c>
      <c r="C40" s="191"/>
      <c r="D40" s="210">
        <f>D37/D38</f>
        <v>440.81574184818021</v>
      </c>
      <c r="E40" s="191"/>
    </row>
    <row r="42" spans="2:5" x14ac:dyDescent="0.35">
      <c r="B42" t="s">
        <v>391</v>
      </c>
      <c r="D42" s="211">
        <v>2323</v>
      </c>
    </row>
    <row r="43" spans="2:5" x14ac:dyDescent="0.35">
      <c r="B43" t="s">
        <v>390</v>
      </c>
      <c r="D43" s="212">
        <f>D42/D40-1</f>
        <v>4.2697755081533728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8B77-EE3B-4995-AE84-A928C66B8538}">
  <sheetPr>
    <tabColor rgb="FF002060"/>
  </sheetPr>
  <dimension ref="B3:M41"/>
  <sheetViews>
    <sheetView showGridLines="0" workbookViewId="0">
      <pane ySplit="3" topLeftCell="A4" activePane="bottomLeft" state="frozen"/>
      <selection activeCell="B1" sqref="B1"/>
      <selection pane="bottomLeft" activeCell="B4" sqref="B4"/>
    </sheetView>
  </sheetViews>
  <sheetFormatPr defaultRowHeight="14.5" x14ac:dyDescent="0.35"/>
  <cols>
    <col min="1" max="1" width="1.81640625" style="169" customWidth="1"/>
    <col min="2" max="2" width="18.6328125" style="169" customWidth="1"/>
    <col min="3" max="3" width="9.54296875" style="169" bestFit="1" customWidth="1"/>
    <col min="4" max="12" width="9.6328125" style="169" bestFit="1" customWidth="1"/>
    <col min="13" max="16384" width="8.7265625" style="169"/>
  </cols>
  <sheetData>
    <row r="3" spans="2:13" x14ac:dyDescent="0.35">
      <c r="B3" s="168" t="s">
        <v>210</v>
      </c>
      <c r="C3" s="167">
        <f>'Data Sheet'!B56</f>
        <v>42460</v>
      </c>
      <c r="D3" s="167">
        <f>'Data Sheet'!C56</f>
        <v>42825</v>
      </c>
      <c r="E3" s="167">
        <f>'Data Sheet'!D56</f>
        <v>43190</v>
      </c>
      <c r="F3" s="167">
        <f>'Data Sheet'!E56</f>
        <v>43555</v>
      </c>
      <c r="G3" s="167">
        <f>'Data Sheet'!F56</f>
        <v>43921</v>
      </c>
      <c r="H3" s="167">
        <f>'Data Sheet'!G56</f>
        <v>44286</v>
      </c>
      <c r="I3" s="167">
        <f>'Data Sheet'!H56</f>
        <v>44651</v>
      </c>
      <c r="J3" s="167">
        <f>'Data Sheet'!I56</f>
        <v>45016</v>
      </c>
      <c r="K3" s="167">
        <f>'Data Sheet'!J56</f>
        <v>45382</v>
      </c>
      <c r="L3" s="167">
        <f>'Data Sheet'!K56</f>
        <v>45747</v>
      </c>
    </row>
    <row r="5" spans="2:13" x14ac:dyDescent="0.35">
      <c r="B5" s="169" t="str">
        <f>'Balance sheet Raw'!A2</f>
        <v>Equity Capital</v>
      </c>
      <c r="C5" s="170">
        <f>'Balance sheet Raw'!D2</f>
        <v>216</v>
      </c>
      <c r="D5" s="170">
        <f>'Balance sheet Raw'!E2</f>
        <v>216</v>
      </c>
      <c r="E5" s="170">
        <f>'Balance sheet Raw'!F2</f>
        <v>216</v>
      </c>
      <c r="F5" s="170">
        <f>'Balance sheet Raw'!G2</f>
        <v>216</v>
      </c>
      <c r="G5" s="170">
        <f>'Balance sheet Raw'!H2</f>
        <v>216</v>
      </c>
      <c r="H5" s="170">
        <f>'Balance sheet Raw'!I2</f>
        <v>235</v>
      </c>
      <c r="I5" s="170">
        <f>'Balance sheet Raw'!J2</f>
        <v>235</v>
      </c>
      <c r="J5" s="170">
        <f>'Balance sheet Raw'!K2</f>
        <v>235</v>
      </c>
      <c r="K5" s="170">
        <f>'Balance sheet Raw'!L2</f>
        <v>235</v>
      </c>
      <c r="L5" s="170">
        <f>'Balance sheet Raw'!M2</f>
        <v>235</v>
      </c>
    </row>
    <row r="6" spans="2:13" ht="15" thickBot="1" x14ac:dyDescent="0.4">
      <c r="B6" s="169" t="str">
        <f>'Balance sheet Raw'!A3</f>
        <v>Reserves</v>
      </c>
      <c r="C6" s="171">
        <f>'Balance sheet Raw'!B3</f>
        <v>3321</v>
      </c>
      <c r="D6" s="171"/>
      <c r="E6" s="171"/>
      <c r="F6" s="171"/>
      <c r="G6" s="171"/>
      <c r="H6" s="171"/>
      <c r="I6" s="171"/>
      <c r="J6" s="171"/>
      <c r="K6" s="171"/>
      <c r="L6" s="171"/>
    </row>
    <row r="7" spans="2:13" ht="15" thickBot="1" x14ac:dyDescent="0.4">
      <c r="B7" s="172" t="str">
        <f>'Balance sheet Raw'!A4</f>
        <v>Borrowings -</v>
      </c>
      <c r="C7" s="173"/>
      <c r="D7" s="173"/>
      <c r="E7" s="173"/>
      <c r="F7" s="173"/>
      <c r="G7" s="173"/>
      <c r="H7" s="173"/>
      <c r="I7" s="173"/>
      <c r="J7" s="173"/>
      <c r="K7" s="173"/>
      <c r="L7" s="173"/>
    </row>
    <row r="8" spans="2:13" x14ac:dyDescent="0.35">
      <c r="B8" s="169" t="str">
        <f>'Balance sheet Raw'!A5</f>
        <v>Long term Borrowings</v>
      </c>
      <c r="C8" s="174">
        <f>'Balance sheet Raw'!D5</f>
        <v>0</v>
      </c>
      <c r="D8" s="174">
        <f>'Balance sheet Raw'!E5</f>
        <v>0</v>
      </c>
      <c r="E8" s="174">
        <f>'Balance sheet Raw'!F5</f>
        <v>0</v>
      </c>
      <c r="F8" s="174">
        <f>'Balance sheet Raw'!G5</f>
        <v>0</v>
      </c>
      <c r="G8" s="174">
        <f>'Balance sheet Raw'!H5</f>
        <v>0</v>
      </c>
      <c r="H8" s="174">
        <f>'Balance sheet Raw'!I5</f>
        <v>0</v>
      </c>
      <c r="I8" s="174">
        <f>'Balance sheet Raw'!J5</f>
        <v>0</v>
      </c>
      <c r="J8" s="174">
        <f>'Balance sheet Raw'!K5</f>
        <v>0</v>
      </c>
      <c r="K8" s="174">
        <f>'Balance sheet Raw'!L5</f>
        <v>0</v>
      </c>
      <c r="L8" s="174">
        <f>'Balance sheet Raw'!M5</f>
        <v>0</v>
      </c>
    </row>
    <row r="9" spans="2:13" x14ac:dyDescent="0.35">
      <c r="B9" s="169" t="str">
        <f>'Balance sheet Raw'!A6</f>
        <v>Short term Borrowings</v>
      </c>
      <c r="C9" s="170">
        <f>'Balance sheet Raw'!D6</f>
        <v>177</v>
      </c>
      <c r="D9" s="170">
        <f>'Balance sheet Raw'!E6</f>
        <v>277</v>
      </c>
      <c r="E9" s="170">
        <f>'Balance sheet Raw'!F6</f>
        <v>0</v>
      </c>
      <c r="F9" s="170">
        <f>'Balance sheet Raw'!G6</f>
        <v>99</v>
      </c>
      <c r="G9" s="170">
        <f>'Balance sheet Raw'!H6</f>
        <v>0</v>
      </c>
      <c r="H9" s="170">
        <f>'Balance sheet Raw'!I6</f>
        <v>0</v>
      </c>
      <c r="I9" s="170">
        <f>'Balance sheet Raw'!J6</f>
        <v>0</v>
      </c>
      <c r="J9" s="170">
        <f>'Balance sheet Raw'!K6</f>
        <v>98</v>
      </c>
      <c r="K9" s="170">
        <f>'Balance sheet Raw'!L6</f>
        <v>13</v>
      </c>
      <c r="L9" s="170">
        <f>'Balance sheet Raw'!M6</f>
        <v>1</v>
      </c>
    </row>
    <row r="10" spans="2:13" x14ac:dyDescent="0.35">
      <c r="B10" s="169" t="str">
        <f>'Balance sheet Raw'!A7</f>
        <v>Lease Liabilities</v>
      </c>
      <c r="C10" s="170">
        <f>'Balance sheet Raw'!D7</f>
        <v>0</v>
      </c>
      <c r="D10" s="170">
        <f>'Balance sheet Raw'!E7</f>
        <v>0</v>
      </c>
      <c r="E10" s="170">
        <f>'Balance sheet Raw'!F7</f>
        <v>0</v>
      </c>
      <c r="F10" s="170">
        <f>'Balance sheet Raw'!G7</f>
        <v>0</v>
      </c>
      <c r="G10" s="170">
        <f>'Balance sheet Raw'!H7</f>
        <v>0</v>
      </c>
      <c r="H10" s="170">
        <f>'Balance sheet Raw'!I7</f>
        <v>0</v>
      </c>
      <c r="I10" s="170">
        <f>'Balance sheet Raw'!J7</f>
        <v>1043</v>
      </c>
      <c r="J10" s="170">
        <f>'Balance sheet Raw'!K7</f>
        <v>1121</v>
      </c>
      <c r="K10" s="170">
        <f>'Balance sheet Raw'!L7</f>
        <v>1471</v>
      </c>
      <c r="L10" s="170">
        <f>'Balance sheet Raw'!M7</f>
        <v>1647</v>
      </c>
    </row>
    <row r="11" spans="2:13" x14ac:dyDescent="0.35">
      <c r="B11" s="175" t="str">
        <f>'Balance sheet Raw'!A8</f>
        <v>Other Liabilities -</v>
      </c>
      <c r="C11" s="170"/>
      <c r="D11" s="170"/>
      <c r="E11" s="170"/>
      <c r="F11" s="170"/>
      <c r="G11" s="170"/>
      <c r="H11" s="170"/>
      <c r="I11" s="170"/>
      <c r="J11" s="170"/>
      <c r="K11" s="170"/>
      <c r="L11" s="170"/>
    </row>
    <row r="12" spans="2:13" x14ac:dyDescent="0.35">
      <c r="B12" s="169" t="str">
        <f>'Balance sheet Raw'!A9</f>
        <v>Non controlling int</v>
      </c>
      <c r="C12" s="170">
        <f>'Balance sheet Raw'!D9</f>
        <v>20</v>
      </c>
      <c r="D12" s="170">
        <f>'Balance sheet Raw'!E9</f>
        <v>22</v>
      </c>
      <c r="E12" s="170">
        <f>'Balance sheet Raw'!F9</f>
        <v>20</v>
      </c>
      <c r="F12" s="170">
        <f>'Balance sheet Raw'!G9</f>
        <v>18</v>
      </c>
      <c r="G12" s="170">
        <f>'Balance sheet Raw'!H9</f>
        <v>17</v>
      </c>
      <c r="H12" s="170">
        <f>'Balance sheet Raw'!I9</f>
        <v>20</v>
      </c>
      <c r="I12" s="170">
        <f>'Balance sheet Raw'!J9</f>
        <v>26</v>
      </c>
      <c r="J12" s="170">
        <f>'Balance sheet Raw'!K9</f>
        <v>218</v>
      </c>
      <c r="K12" s="170">
        <f>'Balance sheet Raw'!L9</f>
        <v>205</v>
      </c>
      <c r="L12" s="170">
        <f>'Balance sheet Raw'!M9</f>
        <v>207</v>
      </c>
    </row>
    <row r="13" spans="2:13" x14ac:dyDescent="0.35">
      <c r="B13" s="169" t="str">
        <f>'Balance sheet Raw'!A10</f>
        <v>Trade Payables</v>
      </c>
      <c r="C13" s="170">
        <f>'Balance sheet Raw'!D10</f>
        <v>5685</v>
      </c>
      <c r="D13" s="170">
        <f>'Balance sheet Raw'!E10</f>
        <v>6186</v>
      </c>
      <c r="E13" s="170">
        <f>'Balance sheet Raw'!F10</f>
        <v>7170</v>
      </c>
      <c r="F13" s="170">
        <f>'Balance sheet Raw'!G10</f>
        <v>7206</v>
      </c>
      <c r="G13" s="170">
        <f>'Balance sheet Raw'!H10</f>
        <v>7535</v>
      </c>
      <c r="H13" s="170">
        <f>'Balance sheet Raw'!I10</f>
        <v>8802</v>
      </c>
      <c r="I13" s="170">
        <f>'Balance sheet Raw'!J10</f>
        <v>9068</v>
      </c>
      <c r="J13" s="170">
        <f>'Balance sheet Raw'!K10</f>
        <v>9574</v>
      </c>
      <c r="K13" s="170">
        <f>'Balance sheet Raw'!L10</f>
        <v>10486</v>
      </c>
      <c r="L13" s="170">
        <f>'Balance sheet Raw'!M10</f>
        <v>11315</v>
      </c>
    </row>
    <row r="14" spans="2:13" x14ac:dyDescent="0.35">
      <c r="B14" s="169" t="str">
        <f>'Balance sheet Raw'!A11</f>
        <v>Advance from Customers</v>
      </c>
      <c r="C14" s="170">
        <f>'Balance sheet Raw'!D11</f>
        <v>45</v>
      </c>
      <c r="D14" s="170">
        <f>'Balance sheet Raw'!E11</f>
        <v>78</v>
      </c>
      <c r="E14" s="170">
        <f>'Balance sheet Raw'!F11</f>
        <v>62</v>
      </c>
      <c r="F14" s="170">
        <f>'Balance sheet Raw'!G11</f>
        <v>43</v>
      </c>
      <c r="G14" s="170">
        <f>'Balance sheet Raw'!H11</f>
        <v>158</v>
      </c>
      <c r="H14" s="170">
        <f>'Balance sheet Raw'!I11</f>
        <v>96</v>
      </c>
      <c r="I14" s="170">
        <f>'Balance sheet Raw'!J11</f>
        <v>119</v>
      </c>
      <c r="J14" s="170">
        <f>'Balance sheet Raw'!K11</f>
        <v>98</v>
      </c>
      <c r="K14" s="170">
        <f>'Balance sheet Raw'!L11</f>
        <v>91</v>
      </c>
      <c r="L14" s="170">
        <f>'Balance sheet Raw'!M11</f>
        <v>0</v>
      </c>
    </row>
    <row r="15" spans="2:13" ht="15" thickBot="1" x14ac:dyDescent="0.4">
      <c r="B15" s="169" t="str">
        <f>'Balance sheet Raw'!A12</f>
        <v>Other liability items</v>
      </c>
      <c r="C15" s="171">
        <f>'Balance sheet Raw'!D12</f>
        <v>2293</v>
      </c>
      <c r="D15" s="171">
        <f>'Balance sheet Raw'!E12</f>
        <v>2399</v>
      </c>
      <c r="E15" s="171">
        <f>'Balance sheet Raw'!F12</f>
        <v>3329</v>
      </c>
      <c r="F15" s="171">
        <f>'Balance sheet Raw'!G12</f>
        <v>3396</v>
      </c>
      <c r="G15" s="171">
        <f>'Balance sheet Raw'!H12</f>
        <v>4214</v>
      </c>
      <c r="H15" s="171">
        <f>'Balance sheet Raw'!I12</f>
        <v>12148</v>
      </c>
      <c r="I15" s="171">
        <f>'Balance sheet Raw'!J12</f>
        <v>11189</v>
      </c>
      <c r="J15" s="171">
        <f>'Balance sheet Raw'!K12</f>
        <v>11664</v>
      </c>
      <c r="K15" s="171">
        <f>'Balance sheet Raw'!L12</f>
        <v>15005</v>
      </c>
      <c r="L15" s="171">
        <f>'Balance sheet Raw'!M12</f>
        <v>17308</v>
      </c>
    </row>
    <row r="16" spans="2:13" ht="15" thickBot="1" x14ac:dyDescent="0.4">
      <c r="B16" s="172" t="str">
        <f>'Balance sheet Raw'!A13</f>
        <v>Total Liabilities</v>
      </c>
      <c r="C16" s="172">
        <f>SUM(C5:C15)</f>
        <v>11757</v>
      </c>
      <c r="D16" s="172">
        <f t="shared" ref="D16:L16" si="0">SUM(D5:D15)</f>
        <v>9178</v>
      </c>
      <c r="E16" s="172">
        <f t="shared" si="0"/>
        <v>10797</v>
      </c>
      <c r="F16" s="172">
        <f t="shared" si="0"/>
        <v>10978</v>
      </c>
      <c r="G16" s="172">
        <f t="shared" si="0"/>
        <v>12140</v>
      </c>
      <c r="H16" s="172">
        <f t="shared" si="0"/>
        <v>21301</v>
      </c>
      <c r="I16" s="172">
        <f t="shared" si="0"/>
        <v>21680</v>
      </c>
      <c r="J16" s="172">
        <f t="shared" si="0"/>
        <v>23008</v>
      </c>
      <c r="K16" s="172">
        <f t="shared" si="0"/>
        <v>27506</v>
      </c>
      <c r="L16" s="172">
        <f t="shared" si="0"/>
        <v>30713</v>
      </c>
      <c r="M16" s="175"/>
    </row>
    <row r="18" spans="2:12" x14ac:dyDescent="0.35">
      <c r="B18" s="175" t="str">
        <f>'Balance sheet Raw'!A14</f>
        <v>Fixed Assets -</v>
      </c>
      <c r="C18" s="174"/>
      <c r="D18" s="174"/>
      <c r="E18" s="174"/>
      <c r="F18" s="174"/>
      <c r="G18" s="174"/>
      <c r="H18" s="174"/>
      <c r="I18" s="174"/>
      <c r="J18" s="174"/>
      <c r="K18" s="174"/>
      <c r="L18" s="174"/>
    </row>
    <row r="19" spans="2:12" x14ac:dyDescent="0.35">
      <c r="B19" s="169" t="str">
        <f>'Balance sheet Raw'!A15</f>
        <v>Land</v>
      </c>
      <c r="C19" s="170">
        <f>'Balance sheet Raw'!D15</f>
        <v>88</v>
      </c>
      <c r="D19" s="170">
        <f>'Balance sheet Raw'!E15</f>
        <v>89</v>
      </c>
      <c r="E19" s="170">
        <f>'Balance sheet Raw'!F15</f>
        <v>87</v>
      </c>
      <c r="F19" s="170">
        <f>'Balance sheet Raw'!G15</f>
        <v>86</v>
      </c>
      <c r="G19" s="170">
        <f>'Balance sheet Raw'!H15</f>
        <v>59</v>
      </c>
      <c r="H19" s="170">
        <f>'Balance sheet Raw'!I15</f>
        <v>477</v>
      </c>
      <c r="I19" s="170">
        <f>'Balance sheet Raw'!J15</f>
        <v>477</v>
      </c>
      <c r="J19" s="170">
        <f>'Balance sheet Raw'!K15</f>
        <v>609</v>
      </c>
      <c r="K19" s="170">
        <f>'Balance sheet Raw'!L15</f>
        <v>618</v>
      </c>
      <c r="L19" s="170">
        <f>'Balance sheet Raw'!M15</f>
        <v>0</v>
      </c>
    </row>
    <row r="20" spans="2:12" x14ac:dyDescent="0.35">
      <c r="B20" s="169" t="str">
        <f>'Balance sheet Raw'!A16</f>
        <v>Building</v>
      </c>
      <c r="C20" s="170">
        <f>'Balance sheet Raw'!D16</f>
        <v>931</v>
      </c>
      <c r="D20" s="170">
        <f>'Balance sheet Raw'!E16</f>
        <v>1210</v>
      </c>
      <c r="E20" s="170">
        <f>'Balance sheet Raw'!F16</f>
        <v>1343</v>
      </c>
      <c r="F20" s="170">
        <f>'Balance sheet Raw'!G16</f>
        <v>1527</v>
      </c>
      <c r="G20" s="170">
        <f>'Balance sheet Raw'!H16</f>
        <v>2044</v>
      </c>
      <c r="H20" s="170">
        <f>'Balance sheet Raw'!I16</f>
        <v>2602</v>
      </c>
      <c r="I20" s="170">
        <f>'Balance sheet Raw'!J16</f>
        <v>2788</v>
      </c>
      <c r="J20" s="170">
        <f>'Balance sheet Raw'!K16</f>
        <v>3101</v>
      </c>
      <c r="K20" s="170">
        <f>'Balance sheet Raw'!L16</f>
        <v>3518</v>
      </c>
      <c r="L20" s="170">
        <f>'Balance sheet Raw'!M16</f>
        <v>0</v>
      </c>
    </row>
    <row r="21" spans="2:12" x14ac:dyDescent="0.35">
      <c r="B21" s="169" t="str">
        <f>'Balance sheet Raw'!A17</f>
        <v>Plant Machinery</v>
      </c>
      <c r="C21" s="170">
        <f>'Balance sheet Raw'!D17</f>
        <v>2370</v>
      </c>
      <c r="D21" s="170">
        <f>'Balance sheet Raw'!E17</f>
        <v>3270</v>
      </c>
      <c r="E21" s="170">
        <f>'Balance sheet Raw'!F17</f>
        <v>3691</v>
      </c>
      <c r="F21" s="170">
        <f>'Balance sheet Raw'!G17</f>
        <v>4092</v>
      </c>
      <c r="G21" s="170">
        <f>'Balance sheet Raw'!H17</f>
        <v>5001</v>
      </c>
      <c r="H21" s="170">
        <f>'Balance sheet Raw'!I17</f>
        <v>6097</v>
      </c>
      <c r="I21" s="170">
        <f>'Balance sheet Raw'!J17</f>
        <v>6566</v>
      </c>
      <c r="J21" s="170">
        <f>'Balance sheet Raw'!K17</f>
        <v>7612</v>
      </c>
      <c r="K21" s="170">
        <f>'Balance sheet Raw'!L17</f>
        <v>8832</v>
      </c>
      <c r="L21" s="170">
        <f>'Balance sheet Raw'!M17</f>
        <v>0</v>
      </c>
    </row>
    <row r="22" spans="2:12" x14ac:dyDescent="0.35">
      <c r="B22" s="169" t="str">
        <f>'Balance sheet Raw'!A18</f>
        <v>Equipments</v>
      </c>
      <c r="C22" s="170">
        <f>'Balance sheet Raw'!D18</f>
        <v>41</v>
      </c>
      <c r="D22" s="170">
        <f>'Balance sheet Raw'!E18</f>
        <v>62</v>
      </c>
      <c r="E22" s="170">
        <f>'Balance sheet Raw'!F18</f>
        <v>74</v>
      </c>
      <c r="F22" s="170">
        <f>'Balance sheet Raw'!G18</f>
        <v>95</v>
      </c>
      <c r="G22" s="170">
        <f>'Balance sheet Raw'!H18</f>
        <v>139</v>
      </c>
      <c r="H22" s="170">
        <f>'Balance sheet Raw'!I18</f>
        <v>175</v>
      </c>
      <c r="I22" s="170">
        <f>'Balance sheet Raw'!J18</f>
        <v>181</v>
      </c>
      <c r="J22" s="170">
        <f>'Balance sheet Raw'!K18</f>
        <v>185</v>
      </c>
      <c r="K22" s="170">
        <f>'Balance sheet Raw'!L18</f>
        <v>206</v>
      </c>
      <c r="L22" s="170">
        <f>'Balance sheet Raw'!M18</f>
        <v>0</v>
      </c>
    </row>
    <row r="23" spans="2:12" x14ac:dyDescent="0.35">
      <c r="B23" s="169" t="str">
        <f>'Balance sheet Raw'!A19</f>
        <v>Furniture n fittings</v>
      </c>
      <c r="C23" s="170">
        <f>'Balance sheet Raw'!D19</f>
        <v>61</v>
      </c>
      <c r="D23" s="170">
        <f>'Balance sheet Raw'!E19</f>
        <v>66</v>
      </c>
      <c r="E23" s="170">
        <f>'Balance sheet Raw'!F19</f>
        <v>76</v>
      </c>
      <c r="F23" s="170">
        <f>'Balance sheet Raw'!G19</f>
        <v>88</v>
      </c>
      <c r="G23" s="170">
        <f>'Balance sheet Raw'!H19</f>
        <v>154</v>
      </c>
      <c r="H23" s="170">
        <f>'Balance sheet Raw'!I19</f>
        <v>156</v>
      </c>
      <c r="I23" s="170">
        <f>'Balance sheet Raw'!J19</f>
        <v>152</v>
      </c>
      <c r="J23" s="170">
        <f>'Balance sheet Raw'!K19</f>
        <v>161</v>
      </c>
      <c r="K23" s="170">
        <f>'Balance sheet Raw'!L19</f>
        <v>165</v>
      </c>
      <c r="L23" s="170">
        <f>'Balance sheet Raw'!M19</f>
        <v>0</v>
      </c>
    </row>
    <row r="24" spans="2:12" x14ac:dyDescent="0.35">
      <c r="B24" s="169" t="str">
        <f>'Balance sheet Raw'!A20</f>
        <v>Railway sidings</v>
      </c>
      <c r="C24" s="170">
        <f>'Balance sheet Raw'!D20</f>
        <v>0</v>
      </c>
      <c r="D24" s="170">
        <f>'Balance sheet Raw'!E20</f>
        <v>0</v>
      </c>
      <c r="E24" s="170">
        <f>'Balance sheet Raw'!F20</f>
        <v>0</v>
      </c>
      <c r="F24" s="170">
        <f>'Balance sheet Raw'!G20</f>
        <v>0</v>
      </c>
      <c r="G24" s="170">
        <f>'Balance sheet Raw'!H20</f>
        <v>0</v>
      </c>
      <c r="H24" s="170">
        <f>'Balance sheet Raw'!I20</f>
        <v>0</v>
      </c>
      <c r="I24" s="170">
        <f>'Balance sheet Raw'!J20</f>
        <v>0</v>
      </c>
      <c r="J24" s="170">
        <f>'Balance sheet Raw'!K20</f>
        <v>0</v>
      </c>
      <c r="K24" s="170">
        <f>'Balance sheet Raw'!L20</f>
        <v>0</v>
      </c>
      <c r="L24" s="170">
        <f>'Balance sheet Raw'!M20</f>
        <v>0</v>
      </c>
    </row>
    <row r="25" spans="2:12" x14ac:dyDescent="0.35">
      <c r="B25" s="169" t="str">
        <f>'Balance sheet Raw'!A21</f>
        <v>Vehicles</v>
      </c>
      <c r="C25" s="170">
        <f>'Balance sheet Raw'!D21</f>
        <v>0</v>
      </c>
      <c r="D25" s="170">
        <f>'Balance sheet Raw'!E21</f>
        <v>0</v>
      </c>
      <c r="E25" s="170">
        <f>'Balance sheet Raw'!F21</f>
        <v>0</v>
      </c>
      <c r="F25" s="170">
        <f>'Balance sheet Raw'!G21</f>
        <v>0</v>
      </c>
      <c r="G25" s="170">
        <f>'Balance sheet Raw'!H21</f>
        <v>0</v>
      </c>
      <c r="H25" s="170">
        <f>'Balance sheet Raw'!I21</f>
        <v>0</v>
      </c>
      <c r="I25" s="170">
        <f>'Balance sheet Raw'!J21</f>
        <v>0</v>
      </c>
      <c r="J25" s="170">
        <f>'Balance sheet Raw'!K21</f>
        <v>33</v>
      </c>
      <c r="K25" s="170">
        <f>'Balance sheet Raw'!L21</f>
        <v>37</v>
      </c>
      <c r="L25" s="170">
        <f>'Balance sheet Raw'!M21</f>
        <v>0</v>
      </c>
    </row>
    <row r="26" spans="2:12" x14ac:dyDescent="0.35">
      <c r="B26" s="169" t="str">
        <f>'Balance sheet Raw'!A22</f>
        <v>Intangible Assets</v>
      </c>
      <c r="C26" s="170">
        <f>'Balance sheet Raw'!D22</f>
        <v>85</v>
      </c>
      <c r="D26" s="170">
        <f>'Balance sheet Raw'!E22</f>
        <v>455</v>
      </c>
      <c r="E26" s="170">
        <f>'Balance sheet Raw'!F22</f>
        <v>455</v>
      </c>
      <c r="F26" s="170">
        <f>'Balance sheet Raw'!G22</f>
        <v>511</v>
      </c>
      <c r="G26" s="170">
        <f>'Balance sheet Raw'!H22</f>
        <v>511</v>
      </c>
      <c r="H26" s="170">
        <f>'Balance sheet Raw'!I22</f>
        <v>45262</v>
      </c>
      <c r="I26" s="170">
        <f>'Balance sheet Raw'!J22</f>
        <v>45262</v>
      </c>
      <c r="J26" s="170">
        <f>'Balance sheet Raw'!K22</f>
        <v>45692</v>
      </c>
      <c r="K26" s="170">
        <f>'Balance sheet Raw'!L22</f>
        <v>45692</v>
      </c>
      <c r="L26" s="170">
        <f>'Balance sheet Raw'!M22</f>
        <v>45710</v>
      </c>
    </row>
    <row r="27" spans="2:12" x14ac:dyDescent="0.35">
      <c r="B27" s="169" t="str">
        <f>'Balance sheet Raw'!A23</f>
        <v>Other fixed assets</v>
      </c>
      <c r="C27" s="170">
        <f>'Balance sheet Raw'!D23</f>
        <v>19</v>
      </c>
      <c r="D27" s="170">
        <f>'Balance sheet Raw'!E23</f>
        <v>19</v>
      </c>
      <c r="E27" s="170">
        <f>'Balance sheet Raw'!F23</f>
        <v>26</v>
      </c>
      <c r="F27" s="170">
        <f>'Balance sheet Raw'!G23</f>
        <v>60</v>
      </c>
      <c r="G27" s="170">
        <f>'Balance sheet Raw'!H23</f>
        <v>71</v>
      </c>
      <c r="H27" s="170">
        <f>'Balance sheet Raw'!I23</f>
        <v>155</v>
      </c>
      <c r="I27" s="170">
        <f>'Balance sheet Raw'!J23</f>
        <v>152</v>
      </c>
      <c r="J27" s="170">
        <f>'Balance sheet Raw'!K23</f>
        <v>171</v>
      </c>
      <c r="K27" s="170">
        <f>'Balance sheet Raw'!L23</f>
        <v>180</v>
      </c>
      <c r="L27" s="170">
        <f>'Balance sheet Raw'!M23</f>
        <v>0</v>
      </c>
    </row>
    <row r="28" spans="2:12" x14ac:dyDescent="0.35">
      <c r="B28" s="169" t="str">
        <f>'Balance sheet Raw'!A24</f>
        <v>Gross Block</v>
      </c>
      <c r="C28" s="170">
        <f>'Balance sheet Raw'!D24</f>
        <v>3595</v>
      </c>
      <c r="D28" s="170">
        <f>'Balance sheet Raw'!E24</f>
        <v>5171</v>
      </c>
      <c r="E28" s="170">
        <f>'Balance sheet Raw'!F24</f>
        <v>5752</v>
      </c>
      <c r="F28" s="170">
        <f>'Balance sheet Raw'!G24</f>
        <v>6459</v>
      </c>
      <c r="G28" s="170">
        <f>'Balance sheet Raw'!H24</f>
        <v>7979</v>
      </c>
      <c r="H28" s="170">
        <f>'Balance sheet Raw'!I24</f>
        <v>54924</v>
      </c>
      <c r="I28" s="170">
        <f>'Balance sheet Raw'!J24</f>
        <v>55578</v>
      </c>
      <c r="J28" s="170">
        <f>'Balance sheet Raw'!K24</f>
        <v>57564</v>
      </c>
      <c r="K28" s="170">
        <f>'Balance sheet Raw'!L24</f>
        <v>59248</v>
      </c>
      <c r="L28" s="170">
        <f>'Balance sheet Raw'!M24</f>
        <v>0</v>
      </c>
    </row>
    <row r="29" spans="2:12" ht="15" thickBot="1" x14ac:dyDescent="0.4">
      <c r="B29" s="169" t="str">
        <f>'Balance sheet Raw'!A25</f>
        <v>Accumulated Depreciation</v>
      </c>
      <c r="C29" s="171">
        <f>'Balance sheet Raw'!D25</f>
        <v>337</v>
      </c>
      <c r="D29" s="171">
        <f>'Balance sheet Raw'!E25</f>
        <v>752</v>
      </c>
      <c r="E29" s="171">
        <f>'Balance sheet Raw'!F25</f>
        <v>1224</v>
      </c>
      <c r="F29" s="171">
        <f>'Balance sheet Raw'!G25</f>
        <v>1744</v>
      </c>
      <c r="G29" s="171">
        <f>'Balance sheet Raw'!H25</f>
        <v>2500</v>
      </c>
      <c r="H29" s="171">
        <f>'Balance sheet Raw'!I25</f>
        <v>3481</v>
      </c>
      <c r="I29" s="171">
        <f>'Balance sheet Raw'!J25</f>
        <v>4105</v>
      </c>
      <c r="J29" s="171">
        <f>'Balance sheet Raw'!K25</f>
        <v>4886</v>
      </c>
      <c r="K29" s="171">
        <f>'Balance sheet Raw'!L25</f>
        <v>5504</v>
      </c>
      <c r="L29" s="171">
        <f>'Balance sheet Raw'!M25</f>
        <v>0</v>
      </c>
    </row>
    <row r="30" spans="2:12" ht="15" thickBot="1" x14ac:dyDescent="0.4">
      <c r="B30" s="172" t="s">
        <v>343</v>
      </c>
      <c r="C30" s="172">
        <f>SUM(C28:C29)</f>
        <v>3932</v>
      </c>
      <c r="D30" s="172">
        <f t="shared" ref="D30:L30" si="1">SUM(D28:D29)</f>
        <v>5923</v>
      </c>
      <c r="E30" s="172">
        <f t="shared" si="1"/>
        <v>6976</v>
      </c>
      <c r="F30" s="172">
        <f t="shared" si="1"/>
        <v>8203</v>
      </c>
      <c r="G30" s="172">
        <f t="shared" si="1"/>
        <v>10479</v>
      </c>
      <c r="H30" s="172">
        <f t="shared" si="1"/>
        <v>58405</v>
      </c>
      <c r="I30" s="172">
        <f t="shared" si="1"/>
        <v>59683</v>
      </c>
      <c r="J30" s="172">
        <f t="shared" si="1"/>
        <v>62450</v>
      </c>
      <c r="K30" s="172">
        <f t="shared" si="1"/>
        <v>64752</v>
      </c>
      <c r="L30" s="172">
        <f t="shared" si="1"/>
        <v>0</v>
      </c>
    </row>
    <row r="31" spans="2:12" x14ac:dyDescent="0.35">
      <c r="C31" s="174"/>
      <c r="D31" s="174"/>
      <c r="E31" s="174"/>
      <c r="F31" s="174"/>
      <c r="G31" s="174"/>
      <c r="H31" s="174"/>
      <c r="I31" s="174"/>
      <c r="J31" s="174"/>
      <c r="K31" s="174"/>
      <c r="L31" s="174"/>
    </row>
    <row r="32" spans="2:12" x14ac:dyDescent="0.35">
      <c r="B32" s="169" t="str">
        <f>'Balance sheet Raw'!A26</f>
        <v>CWIP</v>
      </c>
      <c r="C32" s="170">
        <f>'Balance sheet Raw'!D26</f>
        <v>408</v>
      </c>
      <c r="D32" s="170">
        <f>'Balance sheet Raw'!E26</f>
        <v>229</v>
      </c>
      <c r="E32" s="170">
        <f>'Balance sheet Raw'!F26</f>
        <v>461</v>
      </c>
      <c r="F32" s="170">
        <f>'Balance sheet Raw'!G26</f>
        <v>406</v>
      </c>
      <c r="G32" s="170">
        <f>'Balance sheet Raw'!H26</f>
        <v>597</v>
      </c>
      <c r="H32" s="170">
        <f>'Balance sheet Raw'!I26</f>
        <v>745</v>
      </c>
      <c r="I32" s="170">
        <f>'Balance sheet Raw'!J26</f>
        <v>1313</v>
      </c>
      <c r="J32" s="170">
        <f>'Balance sheet Raw'!K26</f>
        <v>1132</v>
      </c>
      <c r="K32" s="170">
        <f>'Balance sheet Raw'!L26</f>
        <v>1025</v>
      </c>
      <c r="L32" s="170">
        <f>'Balance sheet Raw'!M26</f>
        <v>1009</v>
      </c>
    </row>
    <row r="33" spans="2:12" x14ac:dyDescent="0.35">
      <c r="B33" s="169" t="str">
        <f>'Balance sheet Raw'!A27</f>
        <v>Investments</v>
      </c>
      <c r="C33" s="170">
        <f>'Balance sheet Raw'!D27</f>
        <v>2592</v>
      </c>
      <c r="D33" s="170">
        <f>'Balance sheet Raw'!E27</f>
        <v>3794</v>
      </c>
      <c r="E33" s="170">
        <f>'Balance sheet Raw'!F27</f>
        <v>2873</v>
      </c>
      <c r="F33" s="170">
        <f>'Balance sheet Raw'!G27</f>
        <v>2716</v>
      </c>
      <c r="G33" s="170">
        <f>'Balance sheet Raw'!H27</f>
        <v>1255</v>
      </c>
      <c r="H33" s="170">
        <f>'Balance sheet Raw'!I27</f>
        <v>2709</v>
      </c>
      <c r="I33" s="170">
        <f>'Balance sheet Raw'!J27</f>
        <v>3521</v>
      </c>
      <c r="J33" s="170">
        <f>'Balance sheet Raw'!K27</f>
        <v>2882</v>
      </c>
      <c r="K33" s="170">
        <f>'Balance sheet Raw'!L27</f>
        <v>4625</v>
      </c>
      <c r="L33" s="170">
        <f>'Balance sheet Raw'!M27</f>
        <v>3810</v>
      </c>
    </row>
    <row r="34" spans="2:12" x14ac:dyDescent="0.35">
      <c r="C34" s="171"/>
      <c r="D34" s="171"/>
      <c r="E34" s="171"/>
      <c r="F34" s="171"/>
      <c r="G34" s="171"/>
      <c r="H34" s="171"/>
      <c r="I34" s="171"/>
      <c r="J34" s="171"/>
      <c r="K34" s="171"/>
      <c r="L34" s="171"/>
    </row>
    <row r="35" spans="2:12" x14ac:dyDescent="0.35">
      <c r="B35" s="175" t="str">
        <f>'Balance sheet Raw'!A28</f>
        <v>Other Assets -</v>
      </c>
      <c r="C35" s="174"/>
      <c r="D35" s="174"/>
      <c r="E35" s="174"/>
      <c r="F35" s="174"/>
      <c r="G35" s="174"/>
      <c r="H35" s="174"/>
      <c r="I35" s="174"/>
      <c r="J35" s="174"/>
      <c r="K35" s="174"/>
      <c r="L35" s="174"/>
    </row>
    <row r="36" spans="2:12" x14ac:dyDescent="0.35">
      <c r="B36" s="169" t="str">
        <f>'Balance sheet Raw'!A29</f>
        <v>Inventories</v>
      </c>
      <c r="C36" s="170">
        <f>'Balance sheet Raw'!D29</f>
        <v>2726</v>
      </c>
      <c r="D36" s="170">
        <f>'Balance sheet Raw'!E29</f>
        <v>2541</v>
      </c>
      <c r="E36" s="170">
        <f>'Balance sheet Raw'!F29</f>
        <v>2513</v>
      </c>
      <c r="F36" s="170">
        <f>'Balance sheet Raw'!G29</f>
        <v>2574</v>
      </c>
      <c r="G36" s="170">
        <f>'Balance sheet Raw'!H29</f>
        <v>2767</v>
      </c>
      <c r="H36" s="170">
        <f>'Balance sheet Raw'!I29</f>
        <v>3579</v>
      </c>
      <c r="I36" s="170">
        <f>'Balance sheet Raw'!J29</f>
        <v>4096</v>
      </c>
      <c r="J36" s="170">
        <f>'Balance sheet Raw'!K29</f>
        <v>4251</v>
      </c>
      <c r="K36" s="170">
        <f>'Balance sheet Raw'!L29</f>
        <v>4022</v>
      </c>
      <c r="L36" s="170">
        <f>'Balance sheet Raw'!M29</f>
        <v>4415</v>
      </c>
    </row>
    <row r="37" spans="2:12" x14ac:dyDescent="0.35">
      <c r="B37" s="169" t="str">
        <f>'Balance sheet Raw'!A30</f>
        <v>Trade receivables </v>
      </c>
      <c r="C37" s="170">
        <f>'Balance sheet Raw'!D30</f>
        <v>1264</v>
      </c>
      <c r="D37" s="170">
        <f>'Balance sheet Raw'!E30</f>
        <v>1085</v>
      </c>
      <c r="E37" s="170">
        <f>'Balance sheet Raw'!F30</f>
        <v>1310</v>
      </c>
      <c r="F37" s="170">
        <f>'Balance sheet Raw'!G30</f>
        <v>1816</v>
      </c>
      <c r="G37" s="170">
        <f>'Balance sheet Raw'!H30</f>
        <v>1149</v>
      </c>
      <c r="H37" s="170">
        <f>'Balance sheet Raw'!I30</f>
        <v>1758</v>
      </c>
      <c r="I37" s="170">
        <f>'Balance sheet Raw'!J30</f>
        <v>2236</v>
      </c>
      <c r="J37" s="170">
        <f>'Balance sheet Raw'!K30</f>
        <v>3079</v>
      </c>
      <c r="K37" s="170">
        <f>'Balance sheet Raw'!L30</f>
        <v>2997</v>
      </c>
      <c r="L37" s="170">
        <f>'Balance sheet Raw'!M30</f>
        <v>3819</v>
      </c>
    </row>
    <row r="38" spans="2:12" x14ac:dyDescent="0.35">
      <c r="B38" s="169" t="str">
        <f>'Balance sheet Raw'!A31</f>
        <v>Cash Equivalents</v>
      </c>
      <c r="C38" s="170">
        <f>'Balance sheet Raw'!D31</f>
        <v>3009</v>
      </c>
      <c r="D38" s="170">
        <f>'Balance sheet Raw'!E31</f>
        <v>1828</v>
      </c>
      <c r="E38" s="170">
        <f>'Balance sheet Raw'!F31</f>
        <v>3485</v>
      </c>
      <c r="F38" s="170">
        <f>'Balance sheet Raw'!G31</f>
        <v>3757</v>
      </c>
      <c r="G38" s="170">
        <f>'Balance sheet Raw'!H31</f>
        <v>5113</v>
      </c>
      <c r="H38" s="170">
        <f>'Balance sheet Raw'!I31</f>
        <v>4471</v>
      </c>
      <c r="I38" s="170">
        <f>'Balance sheet Raw'!J31</f>
        <v>3846</v>
      </c>
      <c r="J38" s="170">
        <f>'Balance sheet Raw'!K31</f>
        <v>4678</v>
      </c>
      <c r="K38" s="170">
        <f>'Balance sheet Raw'!L31</f>
        <v>7559</v>
      </c>
      <c r="L38" s="170">
        <f>'Balance sheet Raw'!M31</f>
        <v>7554</v>
      </c>
    </row>
    <row r="39" spans="2:12" x14ac:dyDescent="0.35">
      <c r="B39" s="169" t="str">
        <f>'Balance sheet Raw'!A32</f>
        <v>Loans n Advances</v>
      </c>
      <c r="C39" s="170">
        <f>'Balance sheet Raw'!D32</f>
        <v>0</v>
      </c>
      <c r="D39" s="170">
        <f>'Balance sheet Raw'!E32</f>
        <v>71</v>
      </c>
      <c r="E39" s="170">
        <f>'Balance sheet Raw'!F32</f>
        <v>40</v>
      </c>
      <c r="F39" s="170">
        <f>'Balance sheet Raw'!G32</f>
        <v>26</v>
      </c>
      <c r="G39" s="170">
        <f>'Balance sheet Raw'!H32</f>
        <v>19</v>
      </c>
      <c r="H39" s="170">
        <f>'Balance sheet Raw'!I32</f>
        <v>78</v>
      </c>
      <c r="I39" s="170">
        <f>'Balance sheet Raw'!J32</f>
        <v>170</v>
      </c>
      <c r="J39" s="170">
        <f>'Balance sheet Raw'!K32</f>
        <v>188</v>
      </c>
      <c r="K39" s="170">
        <f>'Balance sheet Raw'!L32</f>
        <v>172</v>
      </c>
      <c r="L39" s="170">
        <f>'Balance sheet Raw'!M32</f>
        <v>896</v>
      </c>
    </row>
    <row r="40" spans="2:12" ht="15" thickBot="1" x14ac:dyDescent="0.4">
      <c r="B40" s="169" t="str">
        <f>'Balance sheet Raw'!A33</f>
        <v>Other asset items</v>
      </c>
      <c r="C40" s="171">
        <f>'Balance sheet Raw'!D33</f>
        <v>1536</v>
      </c>
      <c r="D40" s="171">
        <f>'Balance sheet Raw'!E33</f>
        <v>1739</v>
      </c>
      <c r="E40" s="171">
        <f>'Balance sheet Raw'!F33</f>
        <v>2652</v>
      </c>
      <c r="F40" s="171">
        <f>'Balance sheet Raw'!G33</f>
        <v>2619</v>
      </c>
      <c r="G40" s="171">
        <f>'Balance sheet Raw'!H33</f>
        <v>3774</v>
      </c>
      <c r="H40" s="171">
        <f>'Balance sheet Raw'!I33</f>
        <v>3957</v>
      </c>
      <c r="I40" s="171">
        <f>'Balance sheet Raw'!J33</f>
        <v>3851</v>
      </c>
      <c r="J40" s="171">
        <f>'Balance sheet Raw'!K33</f>
        <v>4189</v>
      </c>
      <c r="K40" s="171">
        <f>'Balance sheet Raw'!L33</f>
        <v>4345</v>
      </c>
      <c r="L40" s="171">
        <f>'Balance sheet Raw'!M33</f>
        <v>4042</v>
      </c>
    </row>
    <row r="41" spans="2:12" ht="15" thickBot="1" x14ac:dyDescent="0.4">
      <c r="B41" s="172" t="s">
        <v>342</v>
      </c>
      <c r="C41" s="172">
        <f>'Balance sheet Raw'!D34</f>
        <v>14793</v>
      </c>
      <c r="D41" s="172">
        <f>'Balance sheet Raw'!E34</f>
        <v>15706</v>
      </c>
      <c r="E41" s="172">
        <f>'Balance sheet Raw'!F34</f>
        <v>17862</v>
      </c>
      <c r="F41" s="172">
        <f>'Balance sheet Raw'!G34</f>
        <v>18629</v>
      </c>
      <c r="G41" s="172">
        <f>'Balance sheet Raw'!H34</f>
        <v>20153</v>
      </c>
      <c r="H41" s="172">
        <f>'Balance sheet Raw'!I34</f>
        <v>68740</v>
      </c>
      <c r="I41" s="172">
        <f>'Balance sheet Raw'!J34</f>
        <v>70506</v>
      </c>
      <c r="J41" s="172">
        <f>'Balance sheet Raw'!K34</f>
        <v>73077</v>
      </c>
      <c r="K41" s="172">
        <f>'Balance sheet Raw'!L34</f>
        <v>78489</v>
      </c>
      <c r="L41" s="172">
        <f>'Balance sheet Raw'!M34</f>
        <v>79880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Profit &amp; Loss</vt:lpstr>
      <vt:lpstr>Quarters</vt:lpstr>
      <vt:lpstr>Balance Sheet</vt:lpstr>
      <vt:lpstr>Cash Flow</vt:lpstr>
      <vt:lpstr>Customization</vt:lpstr>
      <vt:lpstr>Financials</vt:lpstr>
      <vt:lpstr>Cash flow </vt:lpstr>
      <vt:lpstr>Data Sheet</vt:lpstr>
      <vt:lpstr>Balance sheet Raw</vt:lpstr>
      <vt:lpstr>Historical FS</vt:lpstr>
      <vt:lpstr>Ratio Analysis</vt:lpstr>
      <vt:lpstr>Forecasting</vt:lpstr>
      <vt:lpstr>Common size statement</vt:lpstr>
      <vt:lpstr>WACC</vt:lpstr>
      <vt:lpstr>RM</vt:lpstr>
      <vt:lpstr>peer comps</vt:lpstr>
      <vt:lpstr>BETA Peer comaprison </vt:lpstr>
      <vt:lpstr>Intrinsic Growth</vt:lpstr>
      <vt:lpstr>DCF</vt:lpstr>
      <vt:lpstr>Raw FS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prachi jain</cp:lastModifiedBy>
  <cp:lastPrinted>2025-05-21T18:37:09Z</cp:lastPrinted>
  <dcterms:created xsi:type="dcterms:W3CDTF">2012-08-17T09:55:37Z</dcterms:created>
  <dcterms:modified xsi:type="dcterms:W3CDTF">2025-05-21T18:39:37Z</dcterms:modified>
</cp:coreProperties>
</file>