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13CD9829-280B-4170-A2C7-843F2DBB82F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INCOME" sheetId="8" r:id="rId1"/>
    <sheet name="BUDGET VS ACTUAL TRACKER" sheetId="9" r:id="rId2"/>
    <sheet name="PIVOT CHART" sheetId="14" r:id="rId3"/>
  </sheets>
  <definedNames>
    <definedName name="valuevx">42.314159</definedName>
    <definedName name="vertex42_copyright" hidden="1">"© 2013 Vertex42 LLC"</definedName>
    <definedName name="vertex42_id" hidden="1">"simple-budget.xlsx"</definedName>
    <definedName name="vertex42_title" hidden="1">"Simple Budget Worksheet"</definedName>
  </definedNames>
  <calcPr calcId="191029"/>
  <pivotCaches>
    <pivotCache cacheId="58" r:id="rId4"/>
    <pivotCache cacheId="81" r:id="rId5"/>
    <pivotCache cacheId="86" r:id="rId6"/>
    <pivotCache cacheId="9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6" i="9" l="1"/>
  <c r="M27" i="9" s="1"/>
  <c r="L26" i="9"/>
  <c r="L27" i="9" s="1"/>
  <c r="B19" i="9"/>
  <c r="B20" i="9" s="1"/>
  <c r="B21" i="9" s="1"/>
  <c r="M19" i="9"/>
  <c r="M20" i="9" s="1"/>
  <c r="L19" i="9"/>
  <c r="L20" i="9" s="1"/>
  <c r="C12" i="9"/>
  <c r="C13" i="9"/>
  <c r="C14" i="9" s="1"/>
  <c r="M12" i="9"/>
  <c r="M13" i="9" s="1"/>
  <c r="C6" i="9"/>
  <c r="C7" i="9" s="1"/>
  <c r="C5" i="9"/>
  <c r="H5" i="9"/>
  <c r="H6" i="9" s="1"/>
  <c r="I5" i="9"/>
  <c r="I6" i="9" s="1"/>
  <c r="J5" i="9"/>
  <c r="J6" i="9" s="1"/>
  <c r="K5" i="9"/>
  <c r="K6" i="9" s="1"/>
  <c r="L5" i="9"/>
  <c r="L6" i="9" s="1"/>
  <c r="B26" i="8"/>
  <c r="B5" i="9" s="1"/>
  <c r="B6" i="9" s="1"/>
  <c r="B7" i="9" s="1"/>
  <c r="C26" i="8"/>
  <c r="M44" i="8"/>
  <c r="L44" i="8"/>
  <c r="K44" i="8"/>
  <c r="J44" i="8"/>
  <c r="I44" i="8"/>
  <c r="H44" i="8"/>
  <c r="G44" i="8"/>
  <c r="F44" i="8"/>
  <c r="E44" i="8"/>
  <c r="D44" i="8"/>
  <c r="D26" i="9" s="1"/>
  <c r="D27" i="9" s="1"/>
  <c r="D28" i="9" s="1"/>
  <c r="C44" i="8"/>
  <c r="C26" i="9" s="1"/>
  <c r="C27" i="9" s="1"/>
  <c r="C28" i="9" s="1"/>
  <c r="B44" i="8"/>
  <c r="B26" i="9" s="1"/>
  <c r="B27" i="9" s="1"/>
  <c r="B28" i="9" s="1"/>
  <c r="A44" i="8"/>
  <c r="N43" i="8"/>
  <c r="O43" i="8" s="1"/>
  <c r="N42" i="8"/>
  <c r="O42" i="8" s="1"/>
  <c r="N41" i="8"/>
  <c r="N44" i="8" s="1"/>
  <c r="O44" i="8" s="1"/>
  <c r="M38" i="8"/>
  <c r="L38" i="8"/>
  <c r="K38" i="8"/>
  <c r="J38" i="8"/>
  <c r="I38" i="8"/>
  <c r="H38" i="8"/>
  <c r="G38" i="8"/>
  <c r="F38" i="8"/>
  <c r="E38" i="8"/>
  <c r="D38" i="8"/>
  <c r="D19" i="9" s="1"/>
  <c r="D20" i="9" s="1"/>
  <c r="D21" i="9" s="1"/>
  <c r="C38" i="8"/>
  <c r="C19" i="9" s="1"/>
  <c r="C20" i="9" s="1"/>
  <c r="C21" i="9" s="1"/>
  <c r="B38" i="8"/>
  <c r="A38" i="8"/>
  <c r="N37" i="8"/>
  <c r="O37" i="8" s="1"/>
  <c r="N36" i="8"/>
  <c r="O36" i="8" s="1"/>
  <c r="N35" i="8"/>
  <c r="O35" i="8" s="1"/>
  <c r="N34" i="8"/>
  <c r="N38" i="8" s="1"/>
  <c r="O38" i="8" s="1"/>
  <c r="M31" i="8"/>
  <c r="M5" i="8" s="1"/>
  <c r="L31" i="8"/>
  <c r="L5" i="8" s="1"/>
  <c r="K31" i="8"/>
  <c r="J31" i="8"/>
  <c r="I31" i="8"/>
  <c r="H31" i="8"/>
  <c r="G31" i="8"/>
  <c r="F31" i="8"/>
  <c r="E31" i="8"/>
  <c r="D31" i="8"/>
  <c r="D12" i="9" s="1"/>
  <c r="D13" i="9" s="1"/>
  <c r="D14" i="9" s="1"/>
  <c r="C31" i="8"/>
  <c r="B31" i="8"/>
  <c r="A31" i="8"/>
  <c r="N30" i="8"/>
  <c r="O30" i="8" s="1"/>
  <c r="N29" i="8"/>
  <c r="O29" i="8" s="1"/>
  <c r="M26" i="8"/>
  <c r="M5" i="9" s="1"/>
  <c r="M6" i="9" s="1"/>
  <c r="L26" i="8"/>
  <c r="L12" i="9" s="1"/>
  <c r="L13" i="9" s="1"/>
  <c r="K26" i="8"/>
  <c r="K26" i="9" s="1"/>
  <c r="K27" i="9" s="1"/>
  <c r="J26" i="8"/>
  <c r="J26" i="9" s="1"/>
  <c r="J27" i="9" s="1"/>
  <c r="I26" i="8"/>
  <c r="I26" i="9" s="1"/>
  <c r="I27" i="9" s="1"/>
  <c r="H26" i="8"/>
  <c r="H26" i="9" s="1"/>
  <c r="H27" i="9" s="1"/>
  <c r="G26" i="8"/>
  <c r="G26" i="9" s="1"/>
  <c r="G27" i="9" s="1"/>
  <c r="F26" i="8"/>
  <c r="F26" i="9" s="1"/>
  <c r="F27" i="9" s="1"/>
  <c r="E26" i="8"/>
  <c r="E26" i="9" s="1"/>
  <c r="E27" i="9" s="1"/>
  <c r="D26" i="8"/>
  <c r="D5" i="9" s="1"/>
  <c r="D6" i="9" s="1"/>
  <c r="D7" i="9" s="1"/>
  <c r="A26" i="8"/>
  <c r="N25" i="8"/>
  <c r="O25" i="8" s="1"/>
  <c r="N24" i="8"/>
  <c r="O24" i="8" s="1"/>
  <c r="N23" i="8"/>
  <c r="O23" i="8" s="1"/>
  <c r="N22" i="8"/>
  <c r="O22" i="8" s="1"/>
  <c r="N21" i="8"/>
  <c r="O21" i="8" s="1"/>
  <c r="N20" i="8"/>
  <c r="O20" i="8" s="1"/>
  <c r="N19" i="8"/>
  <c r="O19" i="8" s="1"/>
  <c r="N18" i="8"/>
  <c r="O18" i="8" s="1"/>
  <c r="N17" i="8"/>
  <c r="O17" i="8" s="1"/>
  <c r="N16" i="8"/>
  <c r="N26" i="8" s="1"/>
  <c r="O26" i="8" s="1"/>
  <c r="M13" i="8"/>
  <c r="M4" i="8" s="1"/>
  <c r="M6" i="8" s="1"/>
  <c r="L13" i="8"/>
  <c r="L4" i="8" s="1"/>
  <c r="K13" i="8"/>
  <c r="K4" i="8" s="1"/>
  <c r="J13" i="8"/>
  <c r="J4" i="8" s="1"/>
  <c r="I13" i="8"/>
  <c r="I4" i="8" s="1"/>
  <c r="H13" i="8"/>
  <c r="G13" i="8"/>
  <c r="G4" i="8" s="1"/>
  <c r="F13" i="8"/>
  <c r="F4" i="8" s="1"/>
  <c r="E13" i="8"/>
  <c r="E4" i="8" s="1"/>
  <c r="D13" i="8"/>
  <c r="D4" i="8" s="1"/>
  <c r="C13" i="8"/>
  <c r="C4" i="8" s="1"/>
  <c r="B13" i="8"/>
  <c r="B4" i="8" s="1"/>
  <c r="A13" i="8"/>
  <c r="N12" i="8"/>
  <c r="O12" i="8" s="1"/>
  <c r="N11" i="8"/>
  <c r="O11" i="8" s="1"/>
  <c r="N10" i="8"/>
  <c r="O10" i="8" s="1"/>
  <c r="H4" i="8"/>
  <c r="E5" i="8" l="1"/>
  <c r="F5" i="8"/>
  <c r="N13" i="8"/>
  <c r="O13" i="8" s="1"/>
  <c r="H5" i="8"/>
  <c r="H7" i="8" s="1"/>
  <c r="G5" i="9"/>
  <c r="G6" i="9" s="1"/>
  <c r="E5" i="9"/>
  <c r="E6" i="9" s="1"/>
  <c r="I5" i="8"/>
  <c r="I6" i="8" s="1"/>
  <c r="F5" i="9"/>
  <c r="F6" i="9" s="1"/>
  <c r="E12" i="9"/>
  <c r="E13" i="9" s="1"/>
  <c r="E19" i="9"/>
  <c r="E20" i="9" s="1"/>
  <c r="F19" i="9"/>
  <c r="F20" i="9" s="1"/>
  <c r="H12" i="9"/>
  <c r="H13" i="9" s="1"/>
  <c r="G19" i="9"/>
  <c r="G20" i="9" s="1"/>
  <c r="I12" i="9"/>
  <c r="I13" i="9" s="1"/>
  <c r="G5" i="8"/>
  <c r="J12" i="9"/>
  <c r="J13" i="9" s="1"/>
  <c r="J5" i="8"/>
  <c r="J6" i="8" s="1"/>
  <c r="B5" i="8"/>
  <c r="K12" i="9"/>
  <c r="K13" i="9" s="1"/>
  <c r="J19" i="9"/>
  <c r="J20" i="9" s="1"/>
  <c r="F12" i="9"/>
  <c r="F13" i="9" s="1"/>
  <c r="G12" i="9"/>
  <c r="G13" i="9" s="1"/>
  <c r="H19" i="9"/>
  <c r="H20" i="9" s="1"/>
  <c r="I19" i="9"/>
  <c r="I20" i="9" s="1"/>
  <c r="K5" i="8"/>
  <c r="K6" i="8" s="1"/>
  <c r="K19" i="9"/>
  <c r="K20" i="9" s="1"/>
  <c r="D5" i="8"/>
  <c r="D7" i="8" s="1"/>
  <c r="B12" i="9"/>
  <c r="B13" i="9" s="1"/>
  <c r="B14" i="9" s="1"/>
  <c r="C5" i="8"/>
  <c r="B6" i="8"/>
  <c r="N4" i="8"/>
  <c r="B7" i="8"/>
  <c r="L6" i="8"/>
  <c r="L7" i="8"/>
  <c r="E7" i="8"/>
  <c r="E6" i="8"/>
  <c r="F7" i="8"/>
  <c r="F6" i="8"/>
  <c r="G7" i="8"/>
  <c r="G6" i="8"/>
  <c r="N31" i="8"/>
  <c r="O31" i="8" s="1"/>
  <c r="O34" i="8"/>
  <c r="M7" i="8"/>
  <c r="O41" i="8"/>
  <c r="O16" i="8"/>
  <c r="H6" i="8" l="1"/>
  <c r="K7" i="8"/>
  <c r="I7" i="8"/>
  <c r="J7" i="8"/>
  <c r="D6" i="8"/>
  <c r="N5" i="8"/>
  <c r="O5" i="8" s="1"/>
  <c r="C6" i="8"/>
  <c r="N6" i="8" s="1"/>
  <c r="O6" i="8" s="1"/>
  <c r="C7" i="8"/>
  <c r="N7" i="8"/>
  <c r="O4" i="8"/>
  <c r="O7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</author>
  </authors>
  <commentList>
    <comment ref="A6" authorId="0" shapeId="0" xr:uid="{9F67B293-62C1-4CD1-A190-52F3F3A4A53E}">
      <text>
        <r>
          <rPr>
            <b/>
            <sz val="8"/>
            <color indexed="81"/>
            <rFont val="Tahoma"/>
            <family val="2"/>
          </rPr>
          <t>NET</t>
        </r>
        <r>
          <rPr>
            <sz val="8"/>
            <color indexed="81"/>
            <rFont val="Tahoma"/>
            <family val="2"/>
          </rPr>
          <t>:
Income - Expenses</t>
        </r>
      </text>
    </comment>
  </commentList>
</comments>
</file>

<file path=xl/sharedStrings.xml><?xml version="1.0" encoding="utf-8"?>
<sst xmlns="http://schemas.openxmlformats.org/spreadsheetml/2006/main" count="224" uniqueCount="56">
  <si>
    <t>Total Expenses</t>
  </si>
  <si>
    <t>Total</t>
  </si>
  <si>
    <t>Groceries</t>
  </si>
  <si>
    <t>Other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</si>
  <si>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</si>
  <si>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</si>
  <si>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</si>
  <si>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</si>
  <si>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</si>
  <si>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</si>
  <si>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</si>
  <si>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</si>
  <si>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</si>
  <si>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</si>
  <si>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</si>
  <si>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</si>
  <si>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Avg</t>
  </si>
  <si>
    <t>Total Income</t>
  </si>
  <si>
    <t>NET</t>
  </si>
  <si>
    <t>Projected End Balance</t>
  </si>
  <si>
    <t>INCOME</t>
  </si>
  <si>
    <t>Salary</t>
  </si>
  <si>
    <t>Free Lancing</t>
  </si>
  <si>
    <t>Rental Income</t>
  </si>
  <si>
    <t>HOME EXPENSES</t>
  </si>
  <si>
    <t>Electricity</t>
  </si>
  <si>
    <t>Gas/Oil</t>
  </si>
  <si>
    <t>Water/Sewer/Trash</t>
  </si>
  <si>
    <t>Phone</t>
  </si>
  <si>
    <t>Internet</t>
  </si>
  <si>
    <t>Lawn/Garden</t>
  </si>
  <si>
    <t>Maintenance/Supplies</t>
  </si>
  <si>
    <t>Improvements</t>
  </si>
  <si>
    <t>TRANSPORTATION</t>
  </si>
  <si>
    <t>Fuel</t>
  </si>
  <si>
    <t>Bus/Taxi/Train Fare</t>
  </si>
  <si>
    <t>HEALTH</t>
  </si>
  <si>
    <t>Health Insurance</t>
  </si>
  <si>
    <t>Doctor/Dentist</t>
  </si>
  <si>
    <t>Medicine/Drugs</t>
  </si>
  <si>
    <t>Life Insurance</t>
  </si>
  <si>
    <t>ENTERTAINMENT</t>
  </si>
  <si>
    <t>Games</t>
  </si>
  <si>
    <t>Movies/Concerts</t>
  </si>
  <si>
    <t>Vacation/Travel</t>
  </si>
  <si>
    <t xml:space="preserve">   BUDGET VS ACTUAL TRACKER </t>
  </si>
  <si>
    <t>PLANNED EXPENSE</t>
  </si>
  <si>
    <t>ACTUAL EXPENSE</t>
  </si>
  <si>
    <t>STATUS</t>
  </si>
  <si>
    <t>VARIANCE</t>
  </si>
  <si>
    <t>Sum of JAN</t>
  </si>
  <si>
    <t>Sum of FEB</t>
  </si>
  <si>
    <t>Sum of MAR</t>
  </si>
  <si>
    <t>Row Labels</t>
  </si>
  <si>
    <t>Grand Total</t>
  </si>
  <si>
    <t>PERSONAL TRACKER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</si>
</sst>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£&quot;* #,##0.00_-;\-&quot;£&quot;* #,##0.00_-;_-&quot;£&quot;* &quot;-&quot;??_-;_-@_-"/>
    <numFmt numFmtId="43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u/>
      <sz val="10"/>
      <color rgb="FF0000FF"/>
      <name val="Arial"/>
      <family val="2"/>
    </font>
    <font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2"/>
      <name val="Calibri"/>
      <family val="2"/>
      <scheme val="minor"/>
    </font>
    <font>
      <u/>
      <sz val="12"/>
      <color theme="1" tint="0.34998626667073579"/>
      <name val="Arial"/>
      <family val="2"/>
    </font>
    <font>
      <sz val="12"/>
      <color theme="1"/>
      <name val="Calibri"/>
      <family val="2"/>
      <scheme val="minor"/>
    </font>
    <font>
      <b/>
      <sz val="12"/>
      <name val="Calibri Light"/>
      <family val="2"/>
      <scheme val="major"/>
    </font>
    <font>
      <b/>
      <sz val="12"/>
      <name val="Calibri"/>
      <family val="2"/>
      <scheme val="minor"/>
    </font>
    <font>
      <b/>
      <sz val="12"/>
      <name val="Calibri Light"/>
      <family val="1"/>
      <scheme val="maj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28">
    <xf numFmtId="0" fontId="0" fillId="0" borderId="0" xfId="0"/>
    <xf numFmtId="0" fontId="5" fillId="0" borderId="0" xfId="0" applyFont="1"/>
    <xf numFmtId="0" fontId="6" fillId="0" borderId="0" xfId="1" applyFont="1" applyAlignment="1" applyProtection="1">
      <alignment horizontal="right"/>
    </xf>
    <xf numFmtId="0" fontId="7" fillId="0" borderId="0" xfId="0" applyFont="1"/>
    <xf numFmtId="0" fontId="8" fillId="3" borderId="2" xfId="0" applyFont="1" applyFill="1" applyBorder="1" applyAlignment="1">
      <alignment horizontal="right" vertical="center"/>
    </xf>
    <xf numFmtId="3" fontId="8" fillId="3" borderId="2" xfId="2" applyNumberFormat="1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right" vertical="center"/>
    </xf>
    <xf numFmtId="3" fontId="5" fillId="3" borderId="2" xfId="3" applyNumberFormat="1" applyFont="1" applyFill="1" applyBorder="1" applyAlignment="1">
      <alignment horizontal="right" vertical="center"/>
    </xf>
    <xf numFmtId="3" fontId="5" fillId="3" borderId="2" xfId="0" applyNumberFormat="1" applyFont="1" applyFill="1" applyBorder="1" applyAlignment="1">
      <alignment vertical="center"/>
    </xf>
    <xf numFmtId="38" fontId="5" fillId="3" borderId="2" xfId="3" applyNumberFormat="1" applyFont="1" applyFill="1" applyBorder="1" applyAlignment="1">
      <alignment horizontal="right" vertical="center"/>
    </xf>
    <xf numFmtId="0" fontId="5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5" fillId="0" borderId="0" xfId="0" applyFont="1" applyAlignment="1">
      <alignment vertical="center" shrinkToFit="1"/>
    </xf>
    <xf numFmtId="3" fontId="5" fillId="0" borderId="1" xfId="2" applyNumberFormat="1" applyFont="1" applyFill="1" applyBorder="1" applyAlignment="1">
      <alignment vertical="center"/>
    </xf>
    <xf numFmtId="3" fontId="7" fillId="2" borderId="0" xfId="0" applyNumberFormat="1" applyFont="1" applyFill="1" applyAlignment="1">
      <alignment vertical="center"/>
    </xf>
    <xf numFmtId="0" fontId="5" fillId="0" borderId="0" xfId="0" applyFont="1" applyAlignment="1">
      <alignment horizontal="right" vertical="center" shrinkToFit="1"/>
    </xf>
    <xf numFmtId="3" fontId="5" fillId="0" borderId="0" xfId="0" applyNumberFormat="1" applyFont="1" applyAlignment="1">
      <alignment vertical="center"/>
    </xf>
    <xf numFmtId="3" fontId="5" fillId="2" borderId="0" xfId="0" applyNumberFormat="1" applyFont="1" applyFill="1" applyAlignment="1">
      <alignment vertical="center"/>
    </xf>
    <xf numFmtId="0" fontId="0" fillId="4" borderId="0" xfId="0" applyFill="1"/>
    <xf numFmtId="3" fontId="0" fillId="0" borderId="0" xfId="0" applyNumberFormat="1"/>
    <xf numFmtId="0" fontId="0" fillId="7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7" fillId="8" borderId="2" xfId="0" applyFont="1" applyFill="1" applyBorder="1"/>
  </cellXfs>
  <cellStyles count="4">
    <cellStyle name="Comma" xfId="2" builtinId="3"/>
    <cellStyle name="Currency" xfId="3" builtinId="4"/>
    <cellStyle name="Hyperlink" xfId="1" builtinId="8" customBuiltin="1"/>
    <cellStyle name="Normal" xfId="0" builtinId="0"/>
  </cellStyles>
  <dxfs count="187"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right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scheme val="major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right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scheme val="major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right"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border outline="0">
        <top style="thin">
          <color indexed="5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border outline="0">
        <bottom style="medium">
          <color indexed="2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scheme val="major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right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scheme val="major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  <border diagonalUp="0" diagonalDown="0" outline="0">
        <left style="thin">
          <color theme="0" tint="-0.24994659260841701"/>
        </left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right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vertical="center" textRotation="0" wrapText="0" indent="0" justifyLastLine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scheme val="major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color theme="6" tint="-0.499984740745262"/>
      </font>
      <fill>
        <patternFill>
          <bgColor theme="6" tint="0.79998168889431442"/>
        </patternFill>
      </fill>
    </dxf>
    <dxf>
      <font>
        <color theme="1"/>
      </font>
      <fill>
        <patternFill>
          <bgColor theme="6" tint="0.79998168889431442"/>
        </patternFill>
      </fill>
    </dxf>
    <dxf>
      <font>
        <b/>
        <color theme="1"/>
      </font>
    </dxf>
    <dxf>
      <font>
        <color theme="1"/>
      </font>
      <fill>
        <patternFill patternType="none">
          <bgColor auto="1"/>
        </patternFill>
      </fill>
    </dxf>
    <dxf>
      <font>
        <b/>
        <color theme="1"/>
      </font>
      <fill>
        <patternFill>
          <bgColor theme="0" tint="-4.9989318521683403E-2"/>
        </patternFill>
      </fill>
      <border>
        <top style="double">
          <color theme="6"/>
        </top>
      </border>
    </dxf>
    <dxf>
      <font>
        <b/>
        <color theme="0"/>
      </font>
      <fill>
        <patternFill patternType="solid">
          <fgColor auto="1"/>
          <bgColor theme="6" tint="-0.24994659260841701"/>
        </patternFill>
      </fill>
      <border>
        <bottom style="thin">
          <color theme="0" tint="-0.24994659260841701"/>
        </bottom>
      </border>
    </dxf>
    <dxf>
      <font>
        <color theme="1"/>
      </font>
      <border>
        <vertical/>
      </border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b/>
        <color theme="1"/>
      </font>
    </dxf>
    <dxf>
      <font>
        <color theme="1"/>
      </font>
      <fill>
        <patternFill patternType="none">
          <bgColor auto="1"/>
        </patternFill>
      </fill>
    </dxf>
    <dxf>
      <font>
        <b/>
        <color theme="1"/>
      </font>
      <fill>
        <patternFill>
          <bgColor theme="0" tint="-4.9989318521683403E-2"/>
        </patternFill>
      </fill>
      <border>
        <top style="double">
          <color theme="4"/>
        </top>
      </border>
    </dxf>
    <dxf>
      <font>
        <b/>
        <color theme="0"/>
      </font>
      <fill>
        <patternFill patternType="solid">
          <fgColor auto="1"/>
          <bgColor theme="4" tint="-0.24994659260841701"/>
        </patternFill>
      </fill>
      <border>
        <bottom style="thin">
          <color theme="0" tint="-0.24994659260841701"/>
        </bottom>
      </border>
    </dxf>
    <dxf>
      <font>
        <color theme="1"/>
      </font>
      <border>
        <vertical/>
      </border>
    </dxf>
  </dxfs>
  <tableStyles count="2" defaultTableStyle="TableStyleMedium2" defaultPivotStyle="PivotStyleLight16">
    <tableStyle name="V42_ExpenseCategory2" pivot="0" count="7" xr9:uid="{50C62C7C-636F-4A33-8AB1-CEC1907B1226}">
      <tableStyleElement type="wholeTable" dxfId="186"/>
      <tableStyleElement type="headerRow" dxfId="185"/>
      <tableStyleElement type="totalRow" dxfId="184"/>
      <tableStyleElement type="firstColumn" dxfId="183"/>
      <tableStyleElement type="lastColumn" dxfId="182"/>
      <tableStyleElement type="firstColumnStripe" dxfId="181"/>
      <tableStyleElement type="secondColumnStripe" dxfId="180"/>
    </tableStyle>
    <tableStyle name="V42_IncomeCategory2" pivot="0" count="7" xr9:uid="{1BC47D72-B966-45B1-A908-C8970B86F3BD}">
      <tableStyleElement type="wholeTable" dxfId="179"/>
      <tableStyleElement type="headerRow" dxfId="178"/>
      <tableStyleElement type="totalRow" dxfId="177"/>
      <tableStyleElement type="firstColumn" dxfId="176"/>
      <tableStyleElement type="lastColumn" dxfId="175"/>
      <tableStyleElement type="firstColumnStripe" dxfId="174"/>
      <tableStyleElement type="secondColumnStripe" dxfId="173"/>
    </tableStyle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[simple-budget.xlsx]PIVOT CHART!PivotTable25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HOME</a:t>
            </a:r>
            <a:r>
              <a:rPr lang="en-IN" b="1" baseline="0"/>
              <a:t> EXPENSE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CHART'!$B$1</c:f>
              <c:strCache>
                <c:ptCount val="1"/>
                <c:pt idx="0">
                  <c:v>Sum of 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CHART'!$A$2:$A$12</c:f>
              <c:strCache>
                <c:ptCount val="10"/>
                <c:pt idx="0">
                  <c:v>Electricity</c:v>
                </c:pt>
                <c:pt idx="1">
                  <c:v>Gas/Oil</c:v>
                </c:pt>
                <c:pt idx="2">
                  <c:v>Groceries</c:v>
                </c:pt>
                <c:pt idx="3">
                  <c:v>Improvements</c:v>
                </c:pt>
                <c:pt idx="4">
                  <c:v>Internet</c:v>
                </c:pt>
                <c:pt idx="5">
                  <c:v>Lawn/Garden</c:v>
                </c:pt>
                <c:pt idx="6">
                  <c:v>Maintenance/Supplies</c:v>
                </c:pt>
                <c:pt idx="7">
                  <c:v>Other</c:v>
                </c:pt>
                <c:pt idx="8">
                  <c:v>Phone</c:v>
                </c:pt>
                <c:pt idx="9">
                  <c:v>Water/Sewer/Trash</c:v>
                </c:pt>
              </c:strCache>
            </c:strRef>
          </c:cat>
          <c:val>
            <c:numRef>
              <c:f>'PIVOT CHART'!$B$2:$B$12</c:f>
              <c:numCache>
                <c:formatCode>#,##0</c:formatCode>
                <c:ptCount val="10"/>
                <c:pt idx="0">
                  <c:v>500</c:v>
                </c:pt>
                <c:pt idx="1">
                  <c:v>900</c:v>
                </c:pt>
                <c:pt idx="2">
                  <c:v>6500</c:v>
                </c:pt>
                <c:pt idx="3">
                  <c:v>700</c:v>
                </c:pt>
                <c:pt idx="4">
                  <c:v>999</c:v>
                </c:pt>
                <c:pt idx="5">
                  <c:v>500</c:v>
                </c:pt>
                <c:pt idx="6">
                  <c:v>850</c:v>
                </c:pt>
                <c:pt idx="7">
                  <c:v>2000</c:v>
                </c:pt>
                <c:pt idx="8">
                  <c:v>1000</c:v>
                </c:pt>
                <c:pt idx="9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7C-4664-8CAC-07779FA6A6D2}"/>
            </c:ext>
          </c:extLst>
        </c:ser>
        <c:ser>
          <c:idx val="1"/>
          <c:order val="1"/>
          <c:tx>
            <c:strRef>
              <c:f>'PIVOT CHART'!$C$1</c:f>
              <c:strCache>
                <c:ptCount val="1"/>
                <c:pt idx="0">
                  <c:v>Sum of 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CHART'!$A$2:$A$12</c:f>
              <c:strCache>
                <c:ptCount val="10"/>
                <c:pt idx="0">
                  <c:v>Electricity</c:v>
                </c:pt>
                <c:pt idx="1">
                  <c:v>Gas/Oil</c:v>
                </c:pt>
                <c:pt idx="2">
                  <c:v>Groceries</c:v>
                </c:pt>
                <c:pt idx="3">
                  <c:v>Improvements</c:v>
                </c:pt>
                <c:pt idx="4">
                  <c:v>Internet</c:v>
                </c:pt>
                <c:pt idx="5">
                  <c:v>Lawn/Garden</c:v>
                </c:pt>
                <c:pt idx="6">
                  <c:v>Maintenance/Supplies</c:v>
                </c:pt>
                <c:pt idx="7">
                  <c:v>Other</c:v>
                </c:pt>
                <c:pt idx="8">
                  <c:v>Phone</c:v>
                </c:pt>
                <c:pt idx="9">
                  <c:v>Water/Sewer/Trash</c:v>
                </c:pt>
              </c:strCache>
            </c:strRef>
          </c:cat>
          <c:val>
            <c:numRef>
              <c:f>'PIVOT CHART'!$C$2:$C$12</c:f>
              <c:numCache>
                <c:formatCode>#,##0</c:formatCode>
                <c:ptCount val="10"/>
                <c:pt idx="0">
                  <c:v>600</c:v>
                </c:pt>
                <c:pt idx="1">
                  <c:v>900</c:v>
                </c:pt>
                <c:pt idx="2">
                  <c:v>7500</c:v>
                </c:pt>
                <c:pt idx="3">
                  <c:v>300</c:v>
                </c:pt>
                <c:pt idx="4">
                  <c:v>999</c:v>
                </c:pt>
                <c:pt idx="5">
                  <c:v>0</c:v>
                </c:pt>
                <c:pt idx="6">
                  <c:v>0</c:v>
                </c:pt>
                <c:pt idx="7">
                  <c:v>1000</c:v>
                </c:pt>
                <c:pt idx="8">
                  <c:v>1000</c:v>
                </c:pt>
                <c:pt idx="9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7C-4664-8CAC-07779FA6A6D2}"/>
            </c:ext>
          </c:extLst>
        </c:ser>
        <c:ser>
          <c:idx val="2"/>
          <c:order val="2"/>
          <c:tx>
            <c:strRef>
              <c:f>'PIVOT CHART'!$D$1</c:f>
              <c:strCache>
                <c:ptCount val="1"/>
                <c:pt idx="0">
                  <c:v>Sum of 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CHART'!$A$2:$A$12</c:f>
              <c:strCache>
                <c:ptCount val="10"/>
                <c:pt idx="0">
                  <c:v>Electricity</c:v>
                </c:pt>
                <c:pt idx="1">
                  <c:v>Gas/Oil</c:v>
                </c:pt>
                <c:pt idx="2">
                  <c:v>Groceries</c:v>
                </c:pt>
                <c:pt idx="3">
                  <c:v>Improvements</c:v>
                </c:pt>
                <c:pt idx="4">
                  <c:v>Internet</c:v>
                </c:pt>
                <c:pt idx="5">
                  <c:v>Lawn/Garden</c:v>
                </c:pt>
                <c:pt idx="6">
                  <c:v>Maintenance/Supplies</c:v>
                </c:pt>
                <c:pt idx="7">
                  <c:v>Other</c:v>
                </c:pt>
                <c:pt idx="8">
                  <c:v>Phone</c:v>
                </c:pt>
                <c:pt idx="9">
                  <c:v>Water/Sewer/Trash</c:v>
                </c:pt>
              </c:strCache>
            </c:strRef>
          </c:cat>
          <c:val>
            <c:numRef>
              <c:f>'PIVOT CHART'!$D$2:$D$12</c:f>
              <c:numCache>
                <c:formatCode>#,##0</c:formatCode>
                <c:ptCount val="10"/>
                <c:pt idx="0">
                  <c:v>900</c:v>
                </c:pt>
                <c:pt idx="1">
                  <c:v>900</c:v>
                </c:pt>
                <c:pt idx="2">
                  <c:v>3000</c:v>
                </c:pt>
                <c:pt idx="3">
                  <c:v>0</c:v>
                </c:pt>
                <c:pt idx="4">
                  <c:v>999</c:v>
                </c:pt>
                <c:pt idx="5">
                  <c:v>200</c:v>
                </c:pt>
                <c:pt idx="6">
                  <c:v>100</c:v>
                </c:pt>
                <c:pt idx="7">
                  <c:v>500</c:v>
                </c:pt>
                <c:pt idx="8">
                  <c:v>999</c:v>
                </c:pt>
                <c:pt idx="9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7C-4664-8CAC-07779FA6A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1405568"/>
        <c:axId val="1191400768"/>
      </c:barChart>
      <c:catAx>
        <c:axId val="119140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400768"/>
        <c:crosses val="autoZero"/>
        <c:auto val="1"/>
        <c:lblAlgn val="ctr"/>
        <c:lblOffset val="100"/>
        <c:noMultiLvlLbl val="0"/>
      </c:catAx>
      <c:valAx>
        <c:axId val="11914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40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[simple-budget.xlsx]PIVOT CHART!PivotTable29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TRANSPORTATION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CHART'!$B$31</c:f>
              <c:strCache>
                <c:ptCount val="1"/>
                <c:pt idx="0">
                  <c:v>Sum of 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CHART'!$A$32:$A$34</c:f>
              <c:strCache>
                <c:ptCount val="2"/>
                <c:pt idx="0">
                  <c:v>Bus/Taxi/Train Fare</c:v>
                </c:pt>
                <c:pt idx="1">
                  <c:v>Fuel</c:v>
                </c:pt>
              </c:strCache>
            </c:strRef>
          </c:cat>
          <c:val>
            <c:numRef>
              <c:f>'PIVOT CHART'!$B$32:$B$34</c:f>
              <c:numCache>
                <c:formatCode>#,##0</c:formatCode>
                <c:ptCount val="2"/>
                <c:pt idx="0">
                  <c:v>1000</c:v>
                </c:pt>
                <c:pt idx="1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9E-4391-A50A-ED38D63DC33B}"/>
            </c:ext>
          </c:extLst>
        </c:ser>
        <c:ser>
          <c:idx val="1"/>
          <c:order val="1"/>
          <c:tx>
            <c:strRef>
              <c:f>'PIVOT CHART'!$C$31</c:f>
              <c:strCache>
                <c:ptCount val="1"/>
                <c:pt idx="0">
                  <c:v>Sum of 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CHART'!$A$32:$A$34</c:f>
              <c:strCache>
                <c:ptCount val="2"/>
                <c:pt idx="0">
                  <c:v>Bus/Taxi/Train Fare</c:v>
                </c:pt>
                <c:pt idx="1">
                  <c:v>Fuel</c:v>
                </c:pt>
              </c:strCache>
            </c:strRef>
          </c:cat>
          <c:val>
            <c:numRef>
              <c:f>'PIVOT CHART'!$C$32:$C$34</c:f>
              <c:numCache>
                <c:formatCode>#,##0</c:formatCode>
                <c:ptCount val="2"/>
                <c:pt idx="0">
                  <c:v>500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9E-4391-A50A-ED38D63DC33B}"/>
            </c:ext>
          </c:extLst>
        </c:ser>
        <c:ser>
          <c:idx val="2"/>
          <c:order val="2"/>
          <c:tx>
            <c:strRef>
              <c:f>'PIVOT CHART'!$D$31</c:f>
              <c:strCache>
                <c:ptCount val="1"/>
                <c:pt idx="0">
                  <c:v>Sum of 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CHART'!$A$32:$A$34</c:f>
              <c:strCache>
                <c:ptCount val="2"/>
                <c:pt idx="0">
                  <c:v>Bus/Taxi/Train Fare</c:v>
                </c:pt>
                <c:pt idx="1">
                  <c:v>Fuel</c:v>
                </c:pt>
              </c:strCache>
            </c:strRef>
          </c:cat>
          <c:val>
            <c:numRef>
              <c:f>'PIVOT CHART'!$D$32:$D$34</c:f>
              <c:numCache>
                <c:formatCode>#,##0</c:formatCode>
                <c:ptCount val="2"/>
                <c:pt idx="0">
                  <c:v>200</c:v>
                </c:pt>
                <c:pt idx="1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9E-4391-A50A-ED38D63DC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1232928"/>
        <c:axId val="1191244928"/>
      </c:barChart>
      <c:catAx>
        <c:axId val="119123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244928"/>
        <c:crosses val="autoZero"/>
        <c:auto val="1"/>
        <c:lblAlgn val="ctr"/>
        <c:lblOffset val="100"/>
        <c:noMultiLvlLbl val="0"/>
      </c:catAx>
      <c:valAx>
        <c:axId val="119124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23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[simple-budget.xlsx]PIVOT CHART!PivotTable30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HEALTH</a:t>
            </a:r>
            <a:r>
              <a:rPr lang="en-IN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CHART'!$B$51</c:f>
              <c:strCache>
                <c:ptCount val="1"/>
                <c:pt idx="0">
                  <c:v>Sum of 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CHART'!$A$52:$A$56</c:f>
              <c:strCache>
                <c:ptCount val="4"/>
                <c:pt idx="0">
                  <c:v>Doctor/Dentist</c:v>
                </c:pt>
                <c:pt idx="1">
                  <c:v>Health Insurance</c:v>
                </c:pt>
                <c:pt idx="2">
                  <c:v>Life Insurance</c:v>
                </c:pt>
                <c:pt idx="3">
                  <c:v>Medicine/Drugs</c:v>
                </c:pt>
              </c:strCache>
            </c:strRef>
          </c:cat>
          <c:val>
            <c:numRef>
              <c:f>'PIVOT CHART'!$B$52:$B$56</c:f>
              <c:numCache>
                <c:formatCode>#,##0</c:formatCode>
                <c:ptCount val="4"/>
                <c:pt idx="0">
                  <c:v>600</c:v>
                </c:pt>
                <c:pt idx="1">
                  <c:v>8000</c:v>
                </c:pt>
                <c:pt idx="2">
                  <c:v>10000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E-4379-9844-15A6B1A2584B}"/>
            </c:ext>
          </c:extLst>
        </c:ser>
        <c:ser>
          <c:idx val="1"/>
          <c:order val="1"/>
          <c:tx>
            <c:strRef>
              <c:f>'PIVOT CHART'!$C$51</c:f>
              <c:strCache>
                <c:ptCount val="1"/>
                <c:pt idx="0">
                  <c:v>Sum of 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CHART'!$A$52:$A$56</c:f>
              <c:strCache>
                <c:ptCount val="4"/>
                <c:pt idx="0">
                  <c:v>Doctor/Dentist</c:v>
                </c:pt>
                <c:pt idx="1">
                  <c:v>Health Insurance</c:v>
                </c:pt>
                <c:pt idx="2">
                  <c:v>Life Insurance</c:v>
                </c:pt>
                <c:pt idx="3">
                  <c:v>Medicine/Drugs</c:v>
                </c:pt>
              </c:strCache>
            </c:strRef>
          </c:cat>
          <c:val>
            <c:numRef>
              <c:f>'PIVOT CHART'!$C$52:$C$56</c:f>
              <c:numCache>
                <c:formatCode>#,##0</c:formatCode>
                <c:ptCount val="4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9E-4379-9844-15A6B1A2584B}"/>
            </c:ext>
          </c:extLst>
        </c:ser>
        <c:ser>
          <c:idx val="2"/>
          <c:order val="2"/>
          <c:tx>
            <c:strRef>
              <c:f>'PIVOT CHART'!$D$51</c:f>
              <c:strCache>
                <c:ptCount val="1"/>
                <c:pt idx="0">
                  <c:v>Sum of 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CHART'!$A$52:$A$56</c:f>
              <c:strCache>
                <c:ptCount val="4"/>
                <c:pt idx="0">
                  <c:v>Doctor/Dentist</c:v>
                </c:pt>
                <c:pt idx="1">
                  <c:v>Health Insurance</c:v>
                </c:pt>
                <c:pt idx="2">
                  <c:v>Life Insurance</c:v>
                </c:pt>
                <c:pt idx="3">
                  <c:v>Medicine/Drugs</c:v>
                </c:pt>
              </c:strCache>
            </c:strRef>
          </c:cat>
          <c:val>
            <c:numRef>
              <c:f>'PIVOT CHART'!$D$52:$D$56</c:f>
              <c:numCache>
                <c:formatCode>#,##0</c:formatCode>
                <c:ptCount val="4"/>
                <c:pt idx="0">
                  <c:v>0</c:v>
                </c:pt>
                <c:pt idx="1">
                  <c:v>5000</c:v>
                </c:pt>
                <c:pt idx="2">
                  <c:v>5000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9E-4379-9844-15A6B1A25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1396928"/>
        <c:axId val="1191411328"/>
      </c:barChart>
      <c:catAx>
        <c:axId val="119139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411328"/>
        <c:crosses val="autoZero"/>
        <c:auto val="1"/>
        <c:lblAlgn val="ctr"/>
        <c:lblOffset val="100"/>
        <c:noMultiLvlLbl val="0"/>
      </c:catAx>
      <c:valAx>
        <c:axId val="119141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39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[simple-budget.xlsx]PIVOT CHART!PivotTable31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Entertainment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CHART'!$B$67</c:f>
              <c:strCache>
                <c:ptCount val="1"/>
                <c:pt idx="0">
                  <c:v>Sum of 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CHART'!$A$68:$A$71</c:f>
              <c:strCache>
                <c:ptCount val="3"/>
                <c:pt idx="0">
                  <c:v>Games</c:v>
                </c:pt>
                <c:pt idx="1">
                  <c:v>Movies/Concerts</c:v>
                </c:pt>
                <c:pt idx="2">
                  <c:v>Vacation/Travel</c:v>
                </c:pt>
              </c:strCache>
            </c:strRef>
          </c:cat>
          <c:val>
            <c:numRef>
              <c:f>'PIVOT CHART'!$B$68:$B$71</c:f>
              <c:numCache>
                <c:formatCode>#,##0</c:formatCode>
                <c:ptCount val="3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AF-4618-AD82-8FF6876460D6}"/>
            </c:ext>
          </c:extLst>
        </c:ser>
        <c:ser>
          <c:idx val="1"/>
          <c:order val="1"/>
          <c:tx>
            <c:strRef>
              <c:f>'PIVOT CHART'!$C$67</c:f>
              <c:strCache>
                <c:ptCount val="1"/>
                <c:pt idx="0">
                  <c:v>Sum of 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CHART'!$A$68:$A$71</c:f>
              <c:strCache>
                <c:ptCount val="3"/>
                <c:pt idx="0">
                  <c:v>Games</c:v>
                </c:pt>
                <c:pt idx="1">
                  <c:v>Movies/Concerts</c:v>
                </c:pt>
                <c:pt idx="2">
                  <c:v>Vacation/Travel</c:v>
                </c:pt>
              </c:strCache>
            </c:strRef>
          </c:cat>
          <c:val>
            <c:numRef>
              <c:f>'PIVOT CHART'!$C$68:$C$71</c:f>
              <c:numCache>
                <c:formatCode>#,##0</c:formatCode>
                <c:ptCount val="3"/>
                <c:pt idx="0">
                  <c:v>1000</c:v>
                </c:pt>
                <c:pt idx="1">
                  <c:v>500</c:v>
                </c:pt>
                <c:pt idx="2">
                  <c:v>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AF-4618-AD82-8FF6876460D6}"/>
            </c:ext>
          </c:extLst>
        </c:ser>
        <c:ser>
          <c:idx val="2"/>
          <c:order val="2"/>
          <c:tx>
            <c:strRef>
              <c:f>'PIVOT CHART'!$D$67</c:f>
              <c:strCache>
                <c:ptCount val="1"/>
                <c:pt idx="0">
                  <c:v>Sum of 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CHART'!$A$68:$A$71</c:f>
              <c:strCache>
                <c:ptCount val="3"/>
                <c:pt idx="0">
                  <c:v>Games</c:v>
                </c:pt>
                <c:pt idx="1">
                  <c:v>Movies/Concerts</c:v>
                </c:pt>
                <c:pt idx="2">
                  <c:v>Vacation/Travel</c:v>
                </c:pt>
              </c:strCache>
            </c:strRef>
          </c:cat>
          <c:val>
            <c:numRef>
              <c:f>'PIVOT CHART'!$D$68:$D$71</c:f>
              <c:numCache>
                <c:formatCode>#,##0</c:formatCode>
                <c:ptCount val="3"/>
                <c:pt idx="0">
                  <c:v>0</c:v>
                </c:pt>
                <c:pt idx="1">
                  <c:v>200</c:v>
                </c:pt>
                <c:pt idx="2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AF-4618-AD82-8FF687646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1229568"/>
        <c:axId val="1191231008"/>
      </c:barChart>
      <c:catAx>
        <c:axId val="119122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231008"/>
        <c:crosses val="autoZero"/>
        <c:auto val="1"/>
        <c:lblAlgn val="ctr"/>
        <c:lblOffset val="100"/>
        <c:noMultiLvlLbl val="0"/>
      </c:catAx>
      <c:valAx>
        <c:axId val="119123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22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0</xdr:rowOff>
    </xdr:from>
    <xdr:to>
      <xdr:col>15</xdr:col>
      <xdr:colOff>213360</xdr:colOff>
      <xdr:row>20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F47262-1AD1-8C50-7951-D4C5C0F07C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365760</xdr:colOff>
      <xdr:row>23</xdr:row>
      <xdr:rowOff>7620</xdr:rowOff>
    </xdr:from>
    <xdr:to>
      <xdr:col>14</xdr:col>
      <xdr:colOff>304800</xdr:colOff>
      <xdr:row>40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E91EB2-31E6-47FF-9E0F-24C2D4463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60960</xdr:colOff>
      <xdr:row>44</xdr:row>
      <xdr:rowOff>38100</xdr:rowOff>
    </xdr:from>
    <xdr:to>
      <xdr:col>15</xdr:col>
      <xdr:colOff>83820</xdr:colOff>
      <xdr:row>59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01D626-5A26-457A-B6BB-5C1F831AC1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129540</xdr:colOff>
      <xdr:row>61</xdr:row>
      <xdr:rowOff>129540</xdr:rowOff>
    </xdr:from>
    <xdr:to>
      <xdr:col>15</xdr:col>
      <xdr:colOff>76200</xdr:colOff>
      <xdr:row>76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B69A4C-51DF-46AA-B0AF-B5E4A8D7D7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754.90035729167" createdVersion="8" refreshedVersion="8" minRefreshableVersion="3" recordCount="10" xr:uid="{5E56C2F0-C7C0-4A66-B900-CD0A4191B1BA}">
  <cacheSource type="worksheet">
    <worksheetSource name="Table3"/>
  </cacheSource>
  <cacheFields count="15">
    <cacheField name="HOME EXPENSES" numFmtId="0">
      <sharedItems count="10">
        <s v="Electricity"/>
        <s v="Gas/Oil"/>
        <s v="Water/Sewer/Trash"/>
        <s v="Phone"/>
        <s v="Internet"/>
        <s v="Groceries"/>
        <s v="Lawn/Garden"/>
        <s v="Maintenance/Supplies"/>
        <s v="Improvements"/>
        <s v="Other"/>
      </sharedItems>
    </cacheField>
    <cacheField name="JAN" numFmtId="3">
      <sharedItems containsSemiMixedTypes="0" containsString="0" containsNumber="1" containsInteger="1" minValue="300" maxValue="6500"/>
    </cacheField>
    <cacheField name="FEB" numFmtId="3">
      <sharedItems containsSemiMixedTypes="0" containsString="0" containsNumber="1" containsInteger="1" minValue="0" maxValue="7500"/>
    </cacheField>
    <cacheField name="MAR" numFmtId="3">
      <sharedItems containsSemiMixedTypes="0" containsString="0" containsNumber="1" containsInteger="1" minValue="0" maxValue="3000"/>
    </cacheField>
    <cacheField name="APR" numFmtId="3">
      <sharedItems containsNonDate="0" containsString="0" containsBlank="1" count="1">
        <m/>
      </sharedItems>
    </cacheField>
    <cacheField name="MAY" numFmtId="3">
      <sharedItems containsNonDate="0" containsString="0" containsBlank="1"/>
    </cacheField>
    <cacheField name="JUN" numFmtId="3">
      <sharedItems containsNonDate="0" containsString="0" containsBlank="1"/>
    </cacheField>
    <cacheField name="JUL" numFmtId="3">
      <sharedItems containsNonDate="0" containsString="0" containsBlank="1"/>
    </cacheField>
    <cacheField name="AUG" numFmtId="3">
      <sharedItems containsNonDate="0" containsString="0" containsBlank="1"/>
    </cacheField>
    <cacheField name="SEP" numFmtId="3">
      <sharedItems containsNonDate="0" containsString="0" containsBlank="1"/>
    </cacheField>
    <cacheField name="OCT" numFmtId="3">
      <sharedItems containsNonDate="0" containsString="0" containsBlank="1"/>
    </cacheField>
    <cacheField name="NOV" numFmtId="3">
      <sharedItems containsNonDate="0" containsString="0" containsBlank="1"/>
    </cacheField>
    <cacheField name="DEC" numFmtId="3">
      <sharedItems containsNonDate="0" containsString="0" containsBlank="1"/>
    </cacheField>
    <cacheField name="Total" numFmtId="3">
      <sharedItems containsSemiMixedTypes="0" containsString="0" containsNumber="1" containsInteger="1" minValue="700" maxValue="17000"/>
    </cacheField>
    <cacheField name="Avg" numFmtId="3">
      <sharedItems containsSemiMixedTypes="0" containsString="0" containsNumber="1" minValue="58.333333333333336" maxValue="1416.66666666666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754.915288078701" createdVersion="8" refreshedVersion="8" minRefreshableVersion="3" recordCount="2" xr:uid="{452B9702-CA2D-44AB-BF60-258A5DBFCA25}">
  <cacheSource type="worksheet">
    <worksheetSource name="Table4"/>
  </cacheSource>
  <cacheFields count="15">
    <cacheField name="TRANSPORTATION" numFmtId="0">
      <sharedItems count="2">
        <s v="Fuel"/>
        <s v="Bus/Taxi/Train Fare"/>
      </sharedItems>
    </cacheField>
    <cacheField name="JAN" numFmtId="3">
      <sharedItems containsSemiMixedTypes="0" containsString="0" containsNumber="1" containsInteger="1" minValue="1000" maxValue="1000" count="1">
        <n v="1000"/>
      </sharedItems>
    </cacheField>
    <cacheField name="FEB" numFmtId="3">
      <sharedItems containsSemiMixedTypes="0" containsString="0" containsNumber="1" containsInteger="1" minValue="500" maxValue="5000"/>
    </cacheField>
    <cacheField name="MAR" numFmtId="3">
      <sharedItems containsSemiMixedTypes="0" containsString="0" containsNumber="1" containsInteger="1" minValue="200" maxValue="1000"/>
    </cacheField>
    <cacheField name="APR" numFmtId="3">
      <sharedItems containsNonDate="0" containsString="0" containsBlank="1" count="1">
        <m/>
      </sharedItems>
    </cacheField>
    <cacheField name="MAY" numFmtId="3">
      <sharedItems containsNonDate="0" containsString="0" containsBlank="1"/>
    </cacheField>
    <cacheField name="JUN" numFmtId="3">
      <sharedItems containsNonDate="0" containsString="0" containsBlank="1"/>
    </cacheField>
    <cacheField name="JUL" numFmtId="3">
      <sharedItems containsNonDate="0" containsString="0" containsBlank="1"/>
    </cacheField>
    <cacheField name="AUG" numFmtId="3">
      <sharedItems containsNonDate="0" containsString="0" containsBlank="1"/>
    </cacheField>
    <cacheField name="SEP" numFmtId="3">
      <sharedItems containsNonDate="0" containsString="0" containsBlank="1"/>
    </cacheField>
    <cacheField name="OCT" numFmtId="3">
      <sharedItems containsNonDate="0" containsString="0" containsBlank="1"/>
    </cacheField>
    <cacheField name="NOV" numFmtId="3">
      <sharedItems containsNonDate="0" containsString="0" containsBlank="1"/>
    </cacheField>
    <cacheField name="DEC" numFmtId="3">
      <sharedItems containsNonDate="0" containsString="0" containsBlank="1"/>
    </cacheField>
    <cacheField name="Total" numFmtId="3">
      <sharedItems containsSemiMixedTypes="0" containsString="0" containsNumber="1" containsInteger="1" minValue="1700" maxValue="7000"/>
    </cacheField>
    <cacheField name="Avg" numFmtId="3">
      <sharedItems containsSemiMixedTypes="0" containsString="0" containsNumber="1" minValue="141.66666666666666" maxValue="583.333333333333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754.91756898148" createdVersion="8" refreshedVersion="8" minRefreshableVersion="3" recordCount="4" xr:uid="{4DD8E4A1-1699-4034-AEAF-2E293C8E0027}">
  <cacheSource type="worksheet">
    <worksheetSource name="Table5"/>
  </cacheSource>
  <cacheFields count="15">
    <cacheField name="HEALTH" numFmtId="0">
      <sharedItems count="4">
        <s v="Health Insurance"/>
        <s v="Doctor/Dentist"/>
        <s v="Medicine/Drugs"/>
        <s v="Life Insurance"/>
      </sharedItems>
    </cacheField>
    <cacheField name="JAN" numFmtId="3">
      <sharedItems containsSemiMixedTypes="0" containsString="0" containsNumber="1" containsInteger="1" minValue="200" maxValue="10000" count="4">
        <n v="8000"/>
        <n v="600"/>
        <n v="200"/>
        <n v="10000"/>
      </sharedItems>
    </cacheField>
    <cacheField name="FEB" numFmtId="3">
      <sharedItems containsSemiMixedTypes="0" containsString="0" containsNumber="1" containsInteger="1" minValue="0" maxValue="10000"/>
    </cacheField>
    <cacheField name="MAR" numFmtId="3">
      <sharedItems containsSemiMixedTypes="0" containsString="0" containsNumber="1" containsInteger="1" minValue="0" maxValue="5000"/>
    </cacheField>
    <cacheField name="APR" numFmtId="3">
      <sharedItems containsNonDate="0" containsString="0" containsBlank="1"/>
    </cacheField>
    <cacheField name="MAY" numFmtId="3">
      <sharedItems containsNonDate="0" containsString="0" containsBlank="1"/>
    </cacheField>
    <cacheField name="JUN" numFmtId="3">
      <sharedItems containsNonDate="0" containsString="0" containsBlank="1"/>
    </cacheField>
    <cacheField name="JUL" numFmtId="3">
      <sharedItems containsNonDate="0" containsString="0" containsBlank="1"/>
    </cacheField>
    <cacheField name="AUG" numFmtId="3">
      <sharedItems containsNonDate="0" containsString="0" containsBlank="1"/>
    </cacheField>
    <cacheField name="SEP" numFmtId="3">
      <sharedItems containsNonDate="0" containsString="0" containsBlank="1"/>
    </cacheField>
    <cacheField name="OCT" numFmtId="3">
      <sharedItems containsNonDate="0" containsString="0" containsBlank="1"/>
    </cacheField>
    <cacheField name="NOV" numFmtId="3">
      <sharedItems containsNonDate="0" containsString="0" containsBlank="1"/>
    </cacheField>
    <cacheField name="DEC" numFmtId="3">
      <sharedItems containsNonDate="0" containsString="0" containsBlank="1"/>
    </cacheField>
    <cacheField name="Total" numFmtId="3">
      <sharedItems containsSemiMixedTypes="0" containsString="0" containsNumber="1" containsInteger="1" minValue="200" maxValue="25000"/>
    </cacheField>
    <cacheField name="Avg" numFmtId="3">
      <sharedItems containsSemiMixedTypes="0" containsString="0" containsNumber="1" minValue="16.666666666666668" maxValue="2083.33333333333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754.925348726851" createdVersion="8" refreshedVersion="8" minRefreshableVersion="3" recordCount="3" xr:uid="{B5085838-C787-4479-9150-1F3A0878D4C1}">
  <cacheSource type="worksheet">
    <worksheetSource name="Table8"/>
  </cacheSource>
  <cacheFields count="15">
    <cacheField name="ENTERTAINMENT" numFmtId="0">
      <sharedItems count="3">
        <s v="Games"/>
        <s v="Movies/Concerts"/>
        <s v="Vacation/Travel"/>
      </sharedItems>
    </cacheField>
    <cacheField name="JAN" numFmtId="3">
      <sharedItems containsSemiMixedTypes="0" containsString="0" containsNumber="1" containsInteger="1" minValue="500" maxValue="5000"/>
    </cacheField>
    <cacheField name="FEB" numFmtId="3">
      <sharedItems containsSemiMixedTypes="0" containsString="0" containsNumber="1" containsInteger="1" minValue="500" maxValue="55000"/>
    </cacheField>
    <cacheField name="MAR" numFmtId="3">
      <sharedItems containsSemiMixedTypes="0" containsString="0" containsNumber="1" containsInteger="1" minValue="0" maxValue="2000"/>
    </cacheField>
    <cacheField name="APR" numFmtId="3">
      <sharedItems containsNonDate="0" containsString="0" containsBlank="1"/>
    </cacheField>
    <cacheField name="MAY" numFmtId="3">
      <sharedItems containsNonDate="0" containsString="0" containsBlank="1"/>
    </cacheField>
    <cacheField name="JUN" numFmtId="3">
      <sharedItems containsNonDate="0" containsString="0" containsBlank="1"/>
    </cacheField>
    <cacheField name="JUL" numFmtId="3">
      <sharedItems containsNonDate="0" containsString="0" containsBlank="1"/>
    </cacheField>
    <cacheField name="AUG" numFmtId="3">
      <sharedItems containsNonDate="0" containsString="0" containsBlank="1"/>
    </cacheField>
    <cacheField name="SEP" numFmtId="3">
      <sharedItems containsNonDate="0" containsString="0" containsBlank="1"/>
    </cacheField>
    <cacheField name="OCT" numFmtId="3">
      <sharedItems containsNonDate="0" containsString="0" containsBlank="1"/>
    </cacheField>
    <cacheField name="NOV" numFmtId="3">
      <sharedItems containsNonDate="0" containsString="0" containsBlank="1"/>
    </cacheField>
    <cacheField name="DEC" numFmtId="3">
      <sharedItems containsNonDate="0" containsString="0" containsBlank="1"/>
    </cacheField>
    <cacheField name="Total" numFmtId="3">
      <sharedItems containsSemiMixedTypes="0" containsString="0" containsNumber="1" containsInteger="1" minValue="1500" maxValue="62000"/>
    </cacheField>
    <cacheField name="Avg" numFmtId="3">
      <sharedItems containsSemiMixedTypes="0" containsString="0" containsNumber="1" minValue="125" maxValue="5166.6666666666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500"/>
    <n v="600"/>
    <n v="900"/>
    <x v="0"/>
    <m/>
    <m/>
    <m/>
    <m/>
    <m/>
    <m/>
    <m/>
    <m/>
    <n v="2000"/>
    <n v="166.66666666666666"/>
  </r>
  <r>
    <x v="1"/>
    <n v="900"/>
    <n v="900"/>
    <n v="900"/>
    <x v="0"/>
    <m/>
    <m/>
    <m/>
    <m/>
    <m/>
    <m/>
    <m/>
    <m/>
    <n v="2700"/>
    <n v="225"/>
  </r>
  <r>
    <x v="2"/>
    <n v="300"/>
    <n v="300"/>
    <n v="300"/>
    <x v="0"/>
    <m/>
    <m/>
    <m/>
    <m/>
    <m/>
    <m/>
    <m/>
    <m/>
    <n v="900"/>
    <n v="75"/>
  </r>
  <r>
    <x v="3"/>
    <n v="1000"/>
    <n v="1000"/>
    <n v="999"/>
    <x v="0"/>
    <m/>
    <m/>
    <m/>
    <m/>
    <m/>
    <m/>
    <m/>
    <m/>
    <n v="2999"/>
    <n v="249.91666666666666"/>
  </r>
  <r>
    <x v="4"/>
    <n v="999"/>
    <n v="999"/>
    <n v="999"/>
    <x v="0"/>
    <m/>
    <m/>
    <m/>
    <m/>
    <m/>
    <m/>
    <m/>
    <m/>
    <n v="2997"/>
    <n v="249.75"/>
  </r>
  <r>
    <x v="5"/>
    <n v="6500"/>
    <n v="7500"/>
    <n v="3000"/>
    <x v="0"/>
    <m/>
    <m/>
    <m/>
    <m/>
    <m/>
    <m/>
    <m/>
    <m/>
    <n v="17000"/>
    <n v="1416.6666666666667"/>
  </r>
  <r>
    <x v="6"/>
    <n v="500"/>
    <n v="0"/>
    <n v="200"/>
    <x v="0"/>
    <m/>
    <m/>
    <m/>
    <m/>
    <m/>
    <m/>
    <m/>
    <m/>
    <n v="700"/>
    <n v="58.333333333333336"/>
  </r>
  <r>
    <x v="7"/>
    <n v="850"/>
    <n v="0"/>
    <n v="100"/>
    <x v="0"/>
    <m/>
    <m/>
    <m/>
    <m/>
    <m/>
    <m/>
    <m/>
    <m/>
    <n v="950"/>
    <n v="79.166666666666671"/>
  </r>
  <r>
    <x v="8"/>
    <n v="700"/>
    <n v="300"/>
    <n v="0"/>
    <x v="0"/>
    <m/>
    <m/>
    <m/>
    <m/>
    <m/>
    <m/>
    <m/>
    <m/>
    <n v="1000"/>
    <n v="83.333333333333329"/>
  </r>
  <r>
    <x v="9"/>
    <n v="2000"/>
    <n v="1000"/>
    <n v="500"/>
    <x v="0"/>
    <m/>
    <m/>
    <m/>
    <m/>
    <m/>
    <m/>
    <m/>
    <m/>
    <n v="3500"/>
    <n v="291.6666666666666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x v="0"/>
    <n v="5000"/>
    <n v="1000"/>
    <x v="0"/>
    <m/>
    <m/>
    <m/>
    <m/>
    <m/>
    <m/>
    <m/>
    <m/>
    <n v="7000"/>
    <n v="583.33333333333337"/>
  </r>
  <r>
    <x v="1"/>
    <x v="0"/>
    <n v="500"/>
    <n v="200"/>
    <x v="0"/>
    <m/>
    <m/>
    <m/>
    <m/>
    <m/>
    <m/>
    <m/>
    <m/>
    <n v="1700"/>
    <n v="141.6666666666666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n v="5000"/>
    <n v="5000"/>
    <m/>
    <m/>
    <m/>
    <m/>
    <m/>
    <m/>
    <m/>
    <m/>
    <m/>
    <n v="18000"/>
    <n v="1500"/>
  </r>
  <r>
    <x v="1"/>
    <x v="1"/>
    <n v="0"/>
    <n v="0"/>
    <m/>
    <m/>
    <m/>
    <m/>
    <m/>
    <m/>
    <m/>
    <m/>
    <m/>
    <n v="600"/>
    <n v="50"/>
  </r>
  <r>
    <x v="2"/>
    <x v="2"/>
    <n v="0"/>
    <n v="0"/>
    <m/>
    <m/>
    <m/>
    <m/>
    <m/>
    <m/>
    <m/>
    <m/>
    <m/>
    <n v="200"/>
    <n v="16.666666666666668"/>
  </r>
  <r>
    <x v="3"/>
    <x v="3"/>
    <n v="10000"/>
    <n v="5000"/>
    <m/>
    <m/>
    <m/>
    <m/>
    <m/>
    <m/>
    <m/>
    <m/>
    <m/>
    <n v="25000"/>
    <n v="2083.333333333333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500"/>
    <n v="1000"/>
    <n v="0"/>
    <m/>
    <m/>
    <m/>
    <m/>
    <m/>
    <m/>
    <m/>
    <m/>
    <m/>
    <n v="1500"/>
    <n v="125"/>
  </r>
  <r>
    <x v="1"/>
    <n v="1000"/>
    <n v="500"/>
    <n v="200"/>
    <m/>
    <m/>
    <m/>
    <m/>
    <m/>
    <m/>
    <m/>
    <m/>
    <m/>
    <n v="1700"/>
    <n v="141.66666666666666"/>
  </r>
  <r>
    <x v="2"/>
    <n v="5000"/>
    <n v="55000"/>
    <n v="2000"/>
    <m/>
    <m/>
    <m/>
    <m/>
    <m/>
    <m/>
    <m/>
    <m/>
    <m/>
    <n v="62000"/>
    <n v="5166.6666666666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D2995A-FFB9-44AA-B4F0-C07E13F57B0D}" name="PivotTable31" cacheId="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6">
  <location ref="A67:D71" firstHeaderRow="0" firstDataRow="1" firstDataCol="1"/>
  <pivotFields count="15">
    <pivotField axis="axisRow" showAll="0">
      <items count="4">
        <item x="0"/>
        <item x="1"/>
        <item x="2"/>
        <item t="default"/>
      </items>
    </pivotField>
    <pivotField dataField="1" numFmtId="3" showAll="0"/>
    <pivotField dataField="1" numFmtId="3" showAll="0"/>
    <pivotField dataField="1" numFmtId="3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3" showAll="0"/>
    <pivotField numFmtId="3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JAN" fld="1" baseField="0" baseItem="0" numFmtId="3"/>
    <dataField name="Sum of FEB" fld="2" baseField="0" baseItem="0" numFmtId="3"/>
    <dataField name="Sum of MAR" fld="3" baseField="0" baseItem="0" numFmtId="3"/>
  </dataFields>
  <chartFormats count="3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275AEC-B67F-4BAA-AFDF-81E3E613983B}" name="PivotTable30" cacheId="8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4">
  <location ref="A51:D56" firstHeaderRow="0" firstDataRow="1" firstDataCol="1"/>
  <pivotFields count="15">
    <pivotField axis="axisRow" showAll="0">
      <items count="5">
        <item x="1"/>
        <item x="0"/>
        <item x="3"/>
        <item x="2"/>
        <item t="default"/>
      </items>
    </pivotField>
    <pivotField dataField="1" numFmtId="3" showAll="0">
      <items count="5">
        <item x="2"/>
        <item x="1"/>
        <item x="0"/>
        <item x="3"/>
        <item t="default"/>
      </items>
    </pivotField>
    <pivotField dataField="1" numFmtId="3" showAll="0"/>
    <pivotField dataField="1" numFmtId="3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3" showAll="0"/>
    <pivotField numFmtId="3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JAN" fld="1" baseField="0" baseItem="0" numFmtId="3"/>
    <dataField name="Sum of FEB" fld="2" baseField="0" baseItem="0" numFmtId="3"/>
    <dataField name="Sum of MAR" fld="3" baseField="0" baseItem="0" numFmtId="3"/>
  </dataFields>
  <chartFormats count="3">
    <chartFormat chart="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DAEE93-AFDF-4EB9-84C1-EB1FBA0D5343}" name="PivotTable29" cacheId="8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3">
  <location ref="A31:D34" firstHeaderRow="0" firstDataRow="1" firstDataCol="1"/>
  <pivotFields count="15">
    <pivotField axis="axisRow" showAll="0">
      <items count="3">
        <item x="1"/>
        <item x="0"/>
        <item t="default"/>
      </items>
    </pivotField>
    <pivotField dataField="1" numFmtId="3" showAll="0">
      <items count="2">
        <item x="0"/>
        <item t="default"/>
      </items>
    </pivotField>
    <pivotField dataField="1" numFmtId="3" showAll="0"/>
    <pivotField dataField="1" numFmtId="3" showAll="0"/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3" showAll="0"/>
    <pivotField numFmtId="3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JAN" fld="1" baseField="0" baseItem="0" numFmtId="3"/>
    <dataField name="Sum of FEB" fld="2" baseField="0" baseItem="0" numFmtId="3"/>
    <dataField name="Sum of MAR" fld="3" baseField="0" baseItem="0" numFmtId="3"/>
  </dataFields>
  <chartFormats count="3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207AC8-71B8-496C-B118-0CC3B08921A6}" name="PivotTable25" cacheId="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1:D12" firstHeaderRow="0" firstDataRow="1" firstDataCol="1"/>
  <pivotFields count="15">
    <pivotField axis="axisRow" showAll="0">
      <items count="11">
        <item x="0"/>
        <item x="1"/>
        <item x="5"/>
        <item x="8"/>
        <item x="4"/>
        <item x="6"/>
        <item x="7"/>
        <item x="9"/>
        <item x="3"/>
        <item x="2"/>
        <item t="default"/>
      </items>
    </pivotField>
    <pivotField dataField="1" numFmtId="3" showAll="0"/>
    <pivotField dataField="1" numFmtId="3" showAll="0"/>
    <pivotField dataField="1" numFmtId="3" showAll="0"/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3" showAll="0"/>
    <pivotField numFmtId="3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JAN" fld="1" baseField="0" baseItem="0" numFmtId="3"/>
    <dataField name="Sum of FEB" fld="2" baseField="0" baseItem="0" numFmtId="3"/>
    <dataField name="Sum of MAR" fld="3" baseField="0" baseItem="0" numFmtId="3"/>
  </dataFields>
  <chartFormats count="3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2A52C2-BCDC-4C02-840C-AE3E7233BC89}" name="Table2" displayName="Table2" ref="A9:O13" totalsRowCount="1" headerRowDxfId="172" dataDxfId="171" totalsRowDxfId="170" dataCellStyle="Comma">
  <tableColumns count="15">
    <tableColumn id="1" xr3:uid="{D6DDEF71-77E9-41B5-A73B-C2CD72552370}" name="INCOME" totalsRowFunction="custom" dataDxfId="169" totalsRowDxfId="168">
      <totalsRowFormula>"Total " &amp; Table2[[#Headers],[INCOME]]</totalsRowFormula>
    </tableColumn>
    <tableColumn id="2" xr3:uid="{5E0C5B8B-5590-44E3-8D73-9857B6B6C3C8}" name="JAN" totalsRowFunction="sum" dataDxfId="167" totalsRowDxfId="166" dataCellStyle="Comma"/>
    <tableColumn id="3" xr3:uid="{01164EC9-868B-49E2-8895-10FA1C6D364E}" name="FEB" totalsRowFunction="sum" dataDxfId="165" totalsRowDxfId="164" dataCellStyle="Comma"/>
    <tableColumn id="4" xr3:uid="{E98E7ACD-D934-4D8E-87E7-D9442864894F}" name="MAR" totalsRowFunction="sum" dataDxfId="163" totalsRowDxfId="162" dataCellStyle="Comma"/>
    <tableColumn id="5" xr3:uid="{BD4A4E86-D96A-47A7-902B-4945A208B0E7}" name="APR" totalsRowFunction="sum" dataDxfId="161" totalsRowDxfId="160" dataCellStyle="Comma"/>
    <tableColumn id="6" xr3:uid="{6C8B2E12-698E-4D7E-961C-1C287D99A831}" name="MAY" totalsRowFunction="sum" dataDxfId="159" totalsRowDxfId="158" dataCellStyle="Comma"/>
    <tableColumn id="7" xr3:uid="{6FDEF902-73C5-4986-B60F-7CC471869F0A}" name="JUN" totalsRowFunction="sum" dataDxfId="157" totalsRowDxfId="156" dataCellStyle="Comma"/>
    <tableColumn id="8" xr3:uid="{0BE8CCCD-BCED-4A21-A256-3FCF3BEC531A}" name="JUL" totalsRowFunction="sum" dataDxfId="155" totalsRowDxfId="154" dataCellStyle="Comma"/>
    <tableColumn id="9" xr3:uid="{7A837173-F8D9-4E93-AEB0-6DB41E8E0F8D}" name="AUG" totalsRowFunction="sum" dataDxfId="153" totalsRowDxfId="152" dataCellStyle="Comma"/>
    <tableColumn id="10" xr3:uid="{3EA96456-07D1-490B-9F61-87FD4214EDF8}" name="SEP" totalsRowFunction="sum" dataDxfId="151" totalsRowDxfId="150" dataCellStyle="Comma"/>
    <tableColumn id="11" xr3:uid="{6FFB8E8E-50B9-4817-8580-DFF2B6697568}" name="OCT" totalsRowFunction="sum" dataDxfId="149" totalsRowDxfId="148" dataCellStyle="Comma"/>
    <tableColumn id="12" xr3:uid="{88DD602D-C36E-47F8-95D5-17198FB5EA06}" name="NOV" totalsRowFunction="sum" dataDxfId="147" totalsRowDxfId="146" dataCellStyle="Comma"/>
    <tableColumn id="13" xr3:uid="{F8B4E525-6DCB-4C40-8DF1-7D6B9BA4B50A}" name="DEC" totalsRowFunction="sum" dataDxfId="145" totalsRowDxfId="144" dataCellStyle="Comma"/>
    <tableColumn id="14" xr3:uid="{39FC8B86-1022-4463-81FC-B8CCB4342FC4}" name="Total" totalsRowFunction="sum" dataDxfId="143" totalsRowDxfId="142">
      <calculatedColumnFormula>SUM(B10:M10)</calculatedColumnFormula>
    </tableColumn>
    <tableColumn id="15" xr3:uid="{59604CA7-3122-461A-AE9C-E1E7C1BC1653}" name="Avg" totalsRowFunction="custom" dataDxfId="141" totalsRowDxfId="140">
      <calculatedColumnFormula>N10/COLUMNS(B10:M10)</calculatedColumnFormula>
      <totalsRowFormula>Table2[[#Totals],[Total]]/COLUMNS(Table2[[#Totals],[JAN]:[DEC]])</totalsRowFormula>
    </tableColumn>
  </tableColumns>
  <tableStyleInfo name="TableStyleMedium27" showFirstColumn="1" showLastColumn="0" showRowStripes="0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E36433-2DFA-48E9-897B-9BA7642CE035}" name="Table3" displayName="Table3" ref="A15:O26" totalsRowCount="1" headerRowDxfId="139" dataDxfId="138" totalsRowDxfId="137" dataCellStyle="Comma">
  <tableColumns count="15">
    <tableColumn id="1" xr3:uid="{9D106FBC-59CC-4143-ADCC-FBC481A1333E}" name="HOME EXPENSES" totalsRowFunction="custom" dataDxfId="136" totalsRowDxfId="135">
      <totalsRowFormula>"Total "&amp;Table3[[#Headers],[HOME EXPENSES]]</totalsRowFormula>
    </tableColumn>
    <tableColumn id="2" xr3:uid="{2984987F-5EDF-4994-8918-602E7BFA747F}" name="JAN" totalsRowFunction="sum" dataDxfId="134" totalsRowDxfId="133" dataCellStyle="Comma"/>
    <tableColumn id="3" xr3:uid="{69624807-97DD-4CEC-9ABB-DA229C43D65C}" name="FEB" totalsRowFunction="sum" dataDxfId="132" totalsRowDxfId="131" dataCellStyle="Comma"/>
    <tableColumn id="4" xr3:uid="{EE14875F-9D5A-4D4B-9821-C139891B2F45}" name="MAR" totalsRowFunction="sum" dataDxfId="130" totalsRowDxfId="129" dataCellStyle="Comma"/>
    <tableColumn id="5" xr3:uid="{9FA0FA83-B886-4E8E-BE06-70A317B88E0F}" name="APR" totalsRowFunction="sum" dataDxfId="128" totalsRowDxfId="127" dataCellStyle="Comma"/>
    <tableColumn id="6" xr3:uid="{7DA2FDD1-0B9E-4D99-B250-24CF602AC047}" name="MAY" totalsRowFunction="sum" dataDxfId="126" totalsRowDxfId="125" dataCellStyle="Comma"/>
    <tableColumn id="7" xr3:uid="{CB448FF5-EFD3-483A-B230-D12847BA400F}" name="JUN" totalsRowFunction="sum" dataDxfId="124" totalsRowDxfId="123" dataCellStyle="Comma"/>
    <tableColumn id="8" xr3:uid="{4D4691E7-BBEF-47D8-859B-82CC71028D68}" name="JUL" totalsRowFunction="sum" dataDxfId="122" totalsRowDxfId="121" dataCellStyle="Comma"/>
    <tableColumn id="9" xr3:uid="{4272733E-5870-43D0-83B2-0EB102D34D7C}" name="AUG" totalsRowFunction="sum" dataDxfId="120" totalsRowDxfId="119" dataCellStyle="Comma"/>
    <tableColumn id="10" xr3:uid="{EA706B63-3967-477D-839D-6CFB1F18799C}" name="SEP" totalsRowFunction="sum" dataDxfId="118" totalsRowDxfId="117" dataCellStyle="Comma"/>
    <tableColumn id="11" xr3:uid="{B69DC87B-9378-4790-85AD-E9DB5A052242}" name="OCT" totalsRowFunction="sum" dataDxfId="116" totalsRowDxfId="115" dataCellStyle="Comma"/>
    <tableColumn id="12" xr3:uid="{BD7F7F02-4E5A-4569-8ED0-323A2EF381AB}" name="NOV" totalsRowFunction="sum" dataDxfId="114" totalsRowDxfId="113" dataCellStyle="Comma"/>
    <tableColumn id="13" xr3:uid="{9B8BBA67-9C43-4671-8B51-5341D9F7F945}" name="DEC" totalsRowFunction="sum" dataDxfId="112" totalsRowDxfId="111" dataCellStyle="Comma"/>
    <tableColumn id="14" xr3:uid="{C0906771-F86D-4D7B-89D5-EA4C19131D3A}" name="Total" totalsRowFunction="sum" dataDxfId="110" totalsRowDxfId="109">
      <calculatedColumnFormula>SUM(B16:M16)</calculatedColumnFormula>
    </tableColumn>
    <tableColumn id="15" xr3:uid="{13EC5679-4440-4A51-A633-E666FE534A4C}" name="Avg" totalsRowFunction="custom" dataDxfId="108" totalsRowDxfId="107">
      <calculatedColumnFormula>N16/COLUMNS(B16:M16)</calculatedColumnFormula>
      <totalsRowFormula>Table3[[#Totals],[Total]]/COLUMNS(Table3[[#Totals],[JAN]:[DEC]])</totalsRowFormula>
    </tableColumn>
  </tableColumns>
  <tableStyleInfo name="TableStyleMedium27" showFirstColumn="1" showLastColumn="0" showRowStripes="0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BDD3AA7-EE1C-4EEA-BC12-E06EB558F5CC}" name="Table4" displayName="Table4" ref="A28:O31" totalsRowCount="1" headerRowDxfId="106" dataDxfId="104" totalsRowDxfId="102" headerRowBorderDxfId="105" tableBorderDxfId="103" dataCellStyle="Comma">
  <tableColumns count="15">
    <tableColumn id="1" xr3:uid="{5DE59FBE-FF15-4A19-A13A-086678B972AE}" name="TRANSPORTATION" totalsRowFunction="custom" dataDxfId="101" totalsRowDxfId="100">
      <totalsRowFormula>"Total "&amp;Table4[[#Headers],[TRANSPORTATION]]</totalsRowFormula>
    </tableColumn>
    <tableColumn id="2" xr3:uid="{0D1746CB-0093-4354-A82B-B63B4DA38AD2}" name="JAN" totalsRowFunction="sum" dataDxfId="99" totalsRowDxfId="98" dataCellStyle="Comma"/>
    <tableColumn id="3" xr3:uid="{327F7874-CFB8-4291-9FF2-33E1D8B78CC4}" name="FEB" totalsRowFunction="sum" dataDxfId="97" totalsRowDxfId="96" dataCellStyle="Comma"/>
    <tableColumn id="4" xr3:uid="{59884918-B57F-46EC-B858-CEB5CD32A669}" name="MAR" totalsRowFunction="sum" dataDxfId="95" totalsRowDxfId="94" dataCellStyle="Comma"/>
    <tableColumn id="5" xr3:uid="{1297E5F7-CA5D-4B7A-8A02-47ED83D0DA91}" name="APR" totalsRowFunction="sum" dataDxfId="93" totalsRowDxfId="92" dataCellStyle="Comma"/>
    <tableColumn id="6" xr3:uid="{E7AB0035-4FD3-455C-B084-F853D39C4941}" name="MAY" totalsRowFunction="sum" dataDxfId="91" totalsRowDxfId="90" dataCellStyle="Comma"/>
    <tableColumn id="7" xr3:uid="{70FED313-8093-437E-96E4-CA219807F40C}" name="JUN" totalsRowFunction="sum" dataDxfId="89" totalsRowDxfId="88" dataCellStyle="Comma"/>
    <tableColumn id="8" xr3:uid="{00A732E5-836F-4BB4-B0CC-44ED33B7CCAF}" name="JUL" totalsRowFunction="sum" dataDxfId="87" totalsRowDxfId="86" dataCellStyle="Comma"/>
    <tableColumn id="9" xr3:uid="{04AB7135-DC74-4598-93C1-1398BF6CE161}" name="AUG" totalsRowFunction="sum" dataDxfId="85" totalsRowDxfId="84" dataCellStyle="Comma"/>
    <tableColumn id="10" xr3:uid="{97EA0DEF-FAB3-492B-ACDF-E062659ECFF5}" name="SEP" totalsRowFunction="sum" dataDxfId="83" totalsRowDxfId="82" dataCellStyle="Comma"/>
    <tableColumn id="11" xr3:uid="{6A43EF2A-ACEF-4F6D-8316-8B2C82EE387E}" name="OCT" totalsRowFunction="sum" dataDxfId="81" totalsRowDxfId="80" dataCellStyle="Comma"/>
    <tableColumn id="12" xr3:uid="{77D74AA9-334F-49EF-89EC-59AFB86AC2F5}" name="NOV" totalsRowFunction="sum" dataDxfId="79" totalsRowDxfId="78" dataCellStyle="Comma"/>
    <tableColumn id="13" xr3:uid="{A61459C3-1031-4642-82BA-15F781FEE9F4}" name="DEC" totalsRowFunction="sum" dataDxfId="77" totalsRowDxfId="76" dataCellStyle="Comma"/>
    <tableColumn id="14" xr3:uid="{194DC4FF-786C-49A0-99C7-61563E5203AF}" name="Total" totalsRowFunction="sum" dataDxfId="75" totalsRowDxfId="74">
      <calculatedColumnFormula>SUM(B29:M29)</calculatedColumnFormula>
    </tableColumn>
    <tableColumn id="15" xr3:uid="{AC4D6AC9-2D6C-46D0-9049-CC5B0011C66C}" name="Avg" totalsRowFunction="custom" dataDxfId="73" totalsRowDxfId="72">
      <calculatedColumnFormula>N29/COLUMNS(B29:M29)</calculatedColumnFormula>
      <totalsRowFormula>Table4[[#Totals],[Total]]/COLUMNS(Table4[[#Totals],[JAN]:[DEC]])</totalsRowFormula>
    </tableColumn>
  </tableColumns>
  <tableStyleInfo name="TableStyleMedium27" showFirstColumn="1" showLastColumn="0" showRowStripes="0" showColumn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9356F68-34A2-45D5-8B81-DCA6FF105380}" name="Table5" displayName="Table5" ref="A33:O38" totalsRowCount="1" headerRowDxfId="71" dataDxfId="70" totalsRowDxfId="69" dataCellStyle="Comma">
  <tableColumns count="15">
    <tableColumn id="1" xr3:uid="{8FB37395-5A7C-471E-AF9C-D692F5B131C8}" name="HEALTH" totalsRowFunction="custom" dataDxfId="68" totalsRowDxfId="67">
      <totalsRowFormula>"Total "&amp;Table5[[#Headers],[HEALTH]]</totalsRowFormula>
    </tableColumn>
    <tableColumn id="2" xr3:uid="{34AFACD8-DFEC-4F90-934B-D1950D19AF1B}" name="JAN" totalsRowFunction="sum" dataDxfId="66" totalsRowDxfId="65" dataCellStyle="Comma"/>
    <tableColumn id="3" xr3:uid="{52ED0FCD-3A3A-48B7-BCEC-73FD6CB9820D}" name="FEB" totalsRowFunction="sum" dataDxfId="64" totalsRowDxfId="63" dataCellStyle="Comma"/>
    <tableColumn id="4" xr3:uid="{0F291B9E-4E43-4115-A9C9-39B8B5D70736}" name="MAR" totalsRowFunction="sum" dataDxfId="62" totalsRowDxfId="61" dataCellStyle="Comma"/>
    <tableColumn id="5" xr3:uid="{2E49F5E2-5447-4C67-B245-7D08EE987D00}" name="APR" totalsRowFunction="sum" dataDxfId="60" totalsRowDxfId="59" dataCellStyle="Comma"/>
    <tableColumn id="6" xr3:uid="{A89999A0-B7D7-470A-B53F-29CFD5735C3A}" name="MAY" totalsRowFunction="sum" dataDxfId="58" totalsRowDxfId="57" dataCellStyle="Comma"/>
    <tableColumn id="7" xr3:uid="{BDFBB9ED-CB1E-494C-B8C8-8750B417F79B}" name="JUN" totalsRowFunction="sum" dataDxfId="56" totalsRowDxfId="55" dataCellStyle="Comma"/>
    <tableColumn id="8" xr3:uid="{FC679F78-F03E-45E7-AD31-74327C50E5D9}" name="JUL" totalsRowFunction="sum" dataDxfId="54" totalsRowDxfId="53" dataCellStyle="Comma"/>
    <tableColumn id="9" xr3:uid="{859AD087-D3AF-4EEE-92E7-F62D49E6B923}" name="AUG" totalsRowFunction="sum" dataDxfId="52" totalsRowDxfId="51" dataCellStyle="Comma"/>
    <tableColumn id="10" xr3:uid="{173BB742-A3D9-4582-87BF-C3420DC6B916}" name="SEP" totalsRowFunction="sum" dataDxfId="50" totalsRowDxfId="49" dataCellStyle="Comma"/>
    <tableColumn id="11" xr3:uid="{402D8272-F961-4F67-9B5D-2DEB6CCACA0F}" name="OCT" totalsRowFunction="sum" dataDxfId="48" totalsRowDxfId="47" dataCellStyle="Comma"/>
    <tableColumn id="12" xr3:uid="{88F18733-0AB0-4146-8B05-4C2D57D6C6DD}" name="NOV" totalsRowFunction="sum" dataDxfId="46" totalsRowDxfId="45" dataCellStyle="Comma"/>
    <tableColumn id="13" xr3:uid="{0CA19F8A-CAF6-477F-99BF-30F0340F57CF}" name="DEC" totalsRowFunction="sum" dataDxfId="44" totalsRowDxfId="43" dataCellStyle="Comma"/>
    <tableColumn id="14" xr3:uid="{9E67AD81-F388-42F9-AA1D-BFB29A8E26F2}" name="Total" totalsRowFunction="sum" dataDxfId="42" totalsRowDxfId="41">
      <calculatedColumnFormula>SUM(B34:M34)</calculatedColumnFormula>
    </tableColumn>
    <tableColumn id="15" xr3:uid="{E24AD863-F69D-4D21-A5F9-ED61054928F9}" name="Avg" totalsRowFunction="custom" dataDxfId="40" totalsRowDxfId="39">
      <calculatedColumnFormula>N34/COLUMNS(B34:M34)</calculatedColumnFormula>
      <totalsRowFormula>Table5[[#Totals],[Total]]/COLUMNS(Table5[[#Totals],[JAN]:[DEC]])</totalsRowFormula>
    </tableColumn>
  </tableColumns>
  <tableStyleInfo name="TableStyleMedium27" showFirstColumn="1" showLastColumn="0" showRowStripes="0" showColumn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9A97A04-F63F-4FDF-940D-D1449C79E4DD}" name="Table8" displayName="Table8" ref="A40:O44" totalsRowCount="1" headerRowDxfId="38" dataDxfId="37" totalsRowDxfId="36" dataCellStyle="Comma">
  <tableColumns count="15">
    <tableColumn id="1" xr3:uid="{DBBC812D-4492-4329-A19A-EC5C0D78B709}" name="ENTERTAINMENT" totalsRowFunction="custom" dataDxfId="35" totalsRowDxfId="34">
      <totalsRowFormula>"Total " &amp; Table8[[#Headers],[ENTERTAINMENT]]</totalsRowFormula>
    </tableColumn>
    <tableColumn id="2" xr3:uid="{96656E5D-8B39-4A06-9975-65A7824CC853}" name="JAN" totalsRowFunction="sum" dataDxfId="33" totalsRowDxfId="32" dataCellStyle="Comma"/>
    <tableColumn id="3" xr3:uid="{7C9A5376-85D2-41F4-9DE4-E925A4DF1F69}" name="FEB" totalsRowFunction="sum" dataDxfId="31" totalsRowDxfId="30" dataCellStyle="Comma"/>
    <tableColumn id="4" xr3:uid="{18DAB875-32D8-4B4E-B651-6658A7FC1F5D}" name="MAR" totalsRowFunction="sum" dataDxfId="29" totalsRowDxfId="28" dataCellStyle="Comma"/>
    <tableColumn id="5" xr3:uid="{6C446F1F-FA29-461A-BDA7-00A0D6E564CF}" name="APR" totalsRowFunction="sum" dataDxfId="27" totalsRowDxfId="26" dataCellStyle="Comma"/>
    <tableColumn id="6" xr3:uid="{571EDFFD-43E6-4CFC-AB36-11A2AF998FD9}" name="MAY" totalsRowFunction="sum" dataDxfId="25" totalsRowDxfId="24" dataCellStyle="Comma"/>
    <tableColumn id="7" xr3:uid="{A1D49D32-004A-4F3D-B86A-1E692EFD8D73}" name="JUN" totalsRowFunction="sum" dataDxfId="23" totalsRowDxfId="22" dataCellStyle="Comma"/>
    <tableColumn id="8" xr3:uid="{417843D7-1D75-41BC-90AC-81BF07CCB096}" name="JUL" totalsRowFunction="sum" dataDxfId="21" totalsRowDxfId="20" dataCellStyle="Comma"/>
    <tableColumn id="9" xr3:uid="{126A79AD-FA5D-4174-AAE5-9A42C767C8E9}" name="AUG" totalsRowFunction="sum" dataDxfId="19" totalsRowDxfId="18" dataCellStyle="Comma"/>
    <tableColumn id="10" xr3:uid="{0AA80730-8EB1-467F-BBBD-F0D2D116C542}" name="SEP" totalsRowFunction="sum" dataDxfId="17" totalsRowDxfId="16" dataCellStyle="Comma"/>
    <tableColumn id="11" xr3:uid="{F68F36EF-4055-4EBD-B841-4891236C43F4}" name="OCT" totalsRowFunction="sum" dataDxfId="15" totalsRowDxfId="14" dataCellStyle="Comma"/>
    <tableColumn id="12" xr3:uid="{7F6D9F48-8A55-49CB-A4CD-EDCD4DBF62D6}" name="NOV" totalsRowFunction="sum" dataDxfId="13" totalsRowDxfId="12" dataCellStyle="Comma"/>
    <tableColumn id="13" xr3:uid="{E51CD49E-61B5-45F1-86E4-444D02097298}" name="DEC" totalsRowFunction="sum" dataDxfId="11" totalsRowDxfId="10" dataCellStyle="Comma"/>
    <tableColumn id="14" xr3:uid="{E04AFA46-37D9-40D0-8FD4-27240EADF218}" name="Total" totalsRowFunction="sum" dataDxfId="9" totalsRowDxfId="8">
      <calculatedColumnFormula>SUM(B41:M41)</calculatedColumnFormula>
    </tableColumn>
    <tableColumn id="15" xr3:uid="{F846A566-2D4F-4F92-B2CC-5855F1F5DFED}" name="Avg" totalsRowFunction="custom" dataDxfId="7" totalsRowDxfId="6">
      <calculatedColumnFormula>N41/COLUMNS(B41:M41)</calculatedColumnFormula>
      <totalsRowFormula>Table8[[#Totals],[Total]]/COLUMNS(Table8[[#Totals],[JAN]:[DEC]])</totalsRowFormula>
    </tableColumn>
  </tableColumns>
  <tableStyleInfo name="TableStyleMedium27" showFirstColumn="1" showLastColumn="0" showRowStripes="0" showColumn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A97E641-543C-4ED9-8AB6-58F7008917D8}" name="Table7" displayName="Table7" ref="A3:M7" headerRowCount="0" totalsRowShown="0">
  <tableColumns count="13">
    <tableColumn id="1" xr3:uid="{D01CFC86-D817-4B41-9880-97C91875AD7F}" name="Column1"/>
    <tableColumn id="2" xr3:uid="{796F8B77-4F28-49D3-BD2A-000B2308C43A}" name="Column2"/>
    <tableColumn id="3" xr3:uid="{F9809865-176F-4DE1-8FB3-ED310BFA6C28}" name="Column3"/>
    <tableColumn id="4" xr3:uid="{B1AAD813-789A-4BE0-8451-D0C8DD9026ED}" name="Column4"/>
    <tableColumn id="5" xr3:uid="{28E9072D-8B96-4DC8-9B2B-B6EF157FD12C}" name="Column5"/>
    <tableColumn id="6" xr3:uid="{FE5BE580-C26E-4610-A65D-7F524502D6B0}" name="Column6"/>
    <tableColumn id="7" xr3:uid="{4FA5CAF4-4A3E-4785-9C7E-3548A7868ABB}" name="Column7"/>
    <tableColumn id="8" xr3:uid="{863ABDEF-3F3E-4587-ADCF-CFE008F5AF7C}" name="Column8"/>
    <tableColumn id="9" xr3:uid="{8253F8C6-0813-4BEE-86E8-FD408F55B1A3}" name="Column9"/>
    <tableColumn id="10" xr3:uid="{0DA8F428-3CC8-4410-89F6-4892C6FCF9AF}" name="Column10"/>
    <tableColumn id="11" xr3:uid="{A478F5DD-56C7-421C-8EAB-3AFAC20B7AEE}" name="Column11"/>
    <tableColumn id="12" xr3:uid="{66CBF643-AF6A-42C5-B1A1-98154177C9A1}" name="Column12"/>
    <tableColumn id="13" xr3:uid="{DE37BC40-E24E-4577-8A39-90D830D1223A}" name="Column13"/>
  </tableColumns>
  <tableStyleInfo name="TableStyleMedium2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3CA40EC-9C4B-4766-9258-961049AA8FEA}" name="Table79" displayName="Table79" ref="A10:M14" headerRowCount="0" totalsRowShown="0">
  <tableColumns count="13">
    <tableColumn id="1" xr3:uid="{C4E91360-97C5-458C-82CB-FD84EF658300}" name="Column1"/>
    <tableColumn id="2" xr3:uid="{2DBFB075-DDEB-471A-B6F2-E55F8148D180}" name="Column2"/>
    <tableColumn id="3" xr3:uid="{E9ACCACD-8F6B-43DB-AA71-08FEF0D3FA64}" name="Column3"/>
    <tableColumn id="4" xr3:uid="{979BF661-A57D-4E6A-AD7B-6862B00FF8AE}" name="Column4"/>
    <tableColumn id="5" xr3:uid="{3DA9781A-8A72-46B0-8D10-AE34E7F754D5}" name="Column5"/>
    <tableColumn id="6" xr3:uid="{5EAEAC75-EA46-4C41-A309-0838353ED5E5}" name="Column6"/>
    <tableColumn id="7" xr3:uid="{4B5E3197-2AF7-4373-9062-1104B24B0297}" name="Column7"/>
    <tableColumn id="8" xr3:uid="{1F59C600-9947-4385-8365-40D6A6F08577}" name="Column8"/>
    <tableColumn id="9" xr3:uid="{7097B3D0-96F4-4E0B-AEFB-25BD6B6D02AE}" name="Column9"/>
    <tableColumn id="10" xr3:uid="{D4A8AF38-C578-460E-AC33-B8169EC34EE3}" name="Column10"/>
    <tableColumn id="11" xr3:uid="{969A2C86-0D96-4DD7-BC92-AE0D5BA3A9FB}" name="Column11"/>
    <tableColumn id="12" xr3:uid="{AE1FBE13-0584-414D-9EB2-24E1A8799BE5}" name="Column12"/>
    <tableColumn id="13" xr3:uid="{2DBCAF97-390E-4836-9C1A-F23B74D152D5}" name="Column13"/>
  </tableColumns>
  <tableStyleInfo name="TableStyleMedium2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0BF5F4A-C98B-4B83-A108-9E7EC9465A6C}" name="Table7910" displayName="Table7910" ref="A17:M21" headerRowCount="0" totalsRowShown="0">
  <tableColumns count="13">
    <tableColumn id="1" xr3:uid="{82AF2669-DD42-490B-9867-6E27B586065B}" name="Column1"/>
    <tableColumn id="2" xr3:uid="{D73B113F-9580-4FE8-83C4-CC0D7942D03A}" name="Column2"/>
    <tableColumn id="3" xr3:uid="{021E3674-5A4A-4374-97FB-BB7081B24BF6}" name="Column3"/>
    <tableColumn id="4" xr3:uid="{A417BC37-C99B-4257-A0FB-75239AA86386}" name="Column4"/>
    <tableColumn id="5" xr3:uid="{F9E6AAE7-60E4-4FD6-876E-06A394D120A4}" name="Column5"/>
    <tableColumn id="6" xr3:uid="{09E7F143-2212-4149-8AA1-8CD4F5B2B40C}" name="Column6"/>
    <tableColumn id="7" xr3:uid="{ADE70913-51FD-4E4A-93D8-46473105F6C4}" name="Column7"/>
    <tableColumn id="8" xr3:uid="{6FE24055-8C29-46AE-8BFC-745722566444}" name="Column8"/>
    <tableColumn id="9" xr3:uid="{198C037C-3ADA-4C5A-9895-8E5B8136EEC3}" name="Column9"/>
    <tableColumn id="10" xr3:uid="{14DDDE25-6C11-48FD-8E34-DE61DC37832A}" name="Column10"/>
    <tableColumn id="11" xr3:uid="{32341677-33E0-4BBE-8AE6-D64DD6E6A14B}" name="Column11"/>
    <tableColumn id="12" xr3:uid="{AFA0FCFD-3FB2-444B-A3B2-37645DD4AA55}" name="Column12"/>
    <tableColumn id="13" xr3:uid="{0EDF6655-301E-4429-9FB6-8F20EE5DC854}" name="Column13"/>
  </tableColumns>
  <tableStyleInfo name="TableStyleMedium2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FFF59E6-483B-4C0D-95C0-946448C92C08}" name="Table791011" displayName="Table791011" ref="A24:M28" headerRowCount="0" totalsRowShown="0">
  <tableColumns count="13">
    <tableColumn id="1" xr3:uid="{4E94BF53-2863-4CE1-9E30-B15C018BA797}" name="Column1"/>
    <tableColumn id="2" xr3:uid="{8E5CCB64-F412-42E3-AF4E-68A33B18E32A}" name="Column2"/>
    <tableColumn id="3" xr3:uid="{767705CD-E593-4499-859F-B018A5E8238D}" name="Column3"/>
    <tableColumn id="4" xr3:uid="{12D796BF-E39C-4A80-B21A-C0E7C7A38CD1}" name="Column4"/>
    <tableColumn id="5" xr3:uid="{8EB9F9CF-A2FF-4A6F-9309-8F98916B939F}" name="Column5"/>
    <tableColumn id="6" xr3:uid="{F0E7DD69-A571-4B93-841A-78386F0C177B}" name="Column6"/>
    <tableColumn id="7" xr3:uid="{C9A115F0-9124-4079-A60A-60F63E4AD528}" name="Column7"/>
    <tableColumn id="8" xr3:uid="{E280AD6B-C539-4A33-9B42-8E1D0E2FFA3A}" name="Column8"/>
    <tableColumn id="9" xr3:uid="{D0643A08-610D-40FA-9FD7-76ACDD4FBEB4}" name="Column9"/>
    <tableColumn id="10" xr3:uid="{C70A929E-FF7A-4AE9-AD8A-4CE643B17B96}" name="Column10"/>
    <tableColumn id="11" xr3:uid="{7334E2DA-E253-4597-B210-DC6B29DC9064}" name="Column11"/>
    <tableColumn id="12" xr3:uid="{2AD2F5C8-0E3C-4415-A6DE-9885012B5B0D}" name="Column12"/>
    <tableColumn id="13" xr3:uid="{A916125E-8689-4BB0-8EF9-0CC684A45D91}" name="Column13"/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42 GREEN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87A33D"/>
      </a:accent1>
      <a:accent2>
        <a:srgbClr val="418AB3"/>
      </a:accent2>
      <a:accent3>
        <a:srgbClr val="C34141"/>
      </a:accent3>
      <a:accent4>
        <a:srgbClr val="E68422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4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A285A-5785-40CD-9938-977B28FC94B8}">
  <dimension ref="A1:O44"/>
  <sheetViews>
    <sheetView tabSelected="1" workbookViewId="0">
      <selection activeCell="K2" sqref="K2"/>
    </sheetView>
  </sheetViews>
  <sheetFormatPr defaultRowHeight="15.6" x14ac:dyDescent="0.3"/>
  <cols>
    <col min="1" max="1" width="24.21875" style="3" customWidth="1"/>
    <col min="2" max="2" width="12.33203125" style="3" customWidth="1"/>
    <col min="3" max="3" width="12.44140625" style="3" customWidth="1"/>
    <col min="4" max="4" width="12.77734375" style="3" customWidth="1"/>
    <col min="5" max="16384" width="8.88671875" style="3"/>
  </cols>
  <sheetData>
    <row r="1" spans="1:15" x14ac:dyDescent="0.3">
      <c r="B1" s="27"/>
      <c r="C1" s="27"/>
      <c r="D1" s="27" t="s">
        <v>55</v>
      </c>
      <c r="E1" s="27"/>
      <c r="F1" s="27"/>
      <c r="G1" s="27"/>
      <c r="H1" s="27"/>
    </row>
    <row r="2" spans="1:1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2"/>
    </row>
    <row r="3" spans="1:15" x14ac:dyDescent="0.3">
      <c r="A3" s="4"/>
      <c r="B3" s="5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5" t="s">
        <v>11</v>
      </c>
      <c r="J3" s="5" t="s">
        <v>12</v>
      </c>
      <c r="K3" s="5" t="s">
        <v>13</v>
      </c>
      <c r="L3" s="5" t="s">
        <v>14</v>
      </c>
      <c r="M3" s="5" t="s">
        <v>15</v>
      </c>
      <c r="N3" s="4" t="s">
        <v>1</v>
      </c>
      <c r="O3" s="4" t="s">
        <v>16</v>
      </c>
    </row>
    <row r="4" spans="1:15" x14ac:dyDescent="0.3">
      <c r="A4" s="6" t="s">
        <v>17</v>
      </c>
      <c r="B4" s="7">
        <f>Table2[[#Totals],[JAN]]</f>
        <v>110000</v>
      </c>
      <c r="C4" s="7">
        <f>Table2[[#Totals],[FEB]]</f>
        <v>105000</v>
      </c>
      <c r="D4" s="7">
        <f>Table2[[#Totals],[MAR]]</f>
        <v>100000</v>
      </c>
      <c r="E4" s="7">
        <f>Table2[[#Totals],[APR]]</f>
        <v>0</v>
      </c>
      <c r="F4" s="7">
        <f>Table2[[#Totals],[MAY]]</f>
        <v>0</v>
      </c>
      <c r="G4" s="7">
        <f>Table2[[#Totals],[JUN]]</f>
        <v>0</v>
      </c>
      <c r="H4" s="7">
        <f>Table2[[#Totals],[JUL]]</f>
        <v>0</v>
      </c>
      <c r="I4" s="7">
        <f>Table2[[#Totals],[AUG]]</f>
        <v>0</v>
      </c>
      <c r="J4" s="7">
        <f>Table2[[#Totals],[SEP]]</f>
        <v>0</v>
      </c>
      <c r="K4" s="7">
        <f>Table2[[#Totals],[OCT]]</f>
        <v>0</v>
      </c>
      <c r="L4" s="7">
        <f>Table2[[#Totals],[NOV]]</f>
        <v>0</v>
      </c>
      <c r="M4" s="7">
        <f>Table2[[#Totals],[DEC]]</f>
        <v>0</v>
      </c>
      <c r="N4" s="8">
        <f>SUM(B4:M4)</f>
        <v>315000</v>
      </c>
      <c r="O4" s="8">
        <f>N4/COLUMNS(B4:M4)</f>
        <v>26250</v>
      </c>
    </row>
    <row r="5" spans="1:15" x14ac:dyDescent="0.3">
      <c r="A5" s="6" t="s">
        <v>0</v>
      </c>
      <c r="B5" s="7">
        <f>SUM(Table3[[#Totals],[JAN]],Table4[[#Totals],[JAN]],Table5[[#Totals],[JAN]],Table8[[#Totals],[JAN]])</f>
        <v>41549</v>
      </c>
      <c r="C5" s="7">
        <f>SUM(Table3[[#Totals],[FEB]], Table4[[#Totals],[FEB]], Table5[[#Totals],[FEB]],Table8[[#Totals],[FEB]])</f>
        <v>89599</v>
      </c>
      <c r="D5" s="7">
        <f>SUM(Table3[[#Totals],[MAR]], Table4[[#Totals],[MAR]], Table5[[#Totals],[MAR]],Table8[[#Totals],[MAR]])</f>
        <v>21298</v>
      </c>
      <c r="E5" s="7">
        <f>SUM(Table3[[#Totals],[APR]],Table4[[#Totals],[APR]],Table5[[#Totals],[APR]])</f>
        <v>0</v>
      </c>
      <c r="F5" s="7">
        <f>SUM(Table3[[#Totals],[MAY]],Table4[[#Totals],[MAY]],Table5[[#Totals],[MAY]])</f>
        <v>0</v>
      </c>
      <c r="G5" s="7">
        <f>SUM(Table3[[#Totals],[JUN]],Table4[[#Totals],[JUN]],Table5[[#Totals],[JUN]])</f>
        <v>0</v>
      </c>
      <c r="H5" s="7">
        <f>SUM(Table3[[#Totals],[JUL]],Table4[[#Totals],[JUL]],Table5[[#Totals],[JUL]])</f>
        <v>0</v>
      </c>
      <c r="I5" s="7">
        <f>SUM(Table3[[#Totals],[AUG]],Table4[[#Totals],[AUG]],Table5[[#Totals],[AUG]])</f>
        <v>0</v>
      </c>
      <c r="J5" s="7">
        <f>SUM(Table3[[#Totals],[SEP]],Table4[[#Totals],[SEP]],Table5[[#Totals],[SEP]])</f>
        <v>0</v>
      </c>
      <c r="K5" s="7">
        <f>SUM(Table3[[#Totals],[OCT]],Table4[[#Totals],[OCT]],Table5[[#Totals],[OCT]])</f>
        <v>0</v>
      </c>
      <c r="L5" s="7">
        <f>SUM(Table3[[#Totals],[NOV]],Table4[[#Totals],[NOV]],Table5[[#Totals],[NOV]])</f>
        <v>0</v>
      </c>
      <c r="M5" s="7">
        <f>SUM(Table3[[#Totals],[DEC]],Table4[[#Totals],[DEC]],Table5[[#Totals],[DEC]])</f>
        <v>0</v>
      </c>
      <c r="N5" s="8">
        <f>SUM(B5:M5)</f>
        <v>152446</v>
      </c>
      <c r="O5" s="8">
        <f>N5/COLUMNS(B5:M5)</f>
        <v>12703.833333333334</v>
      </c>
    </row>
    <row r="6" spans="1:15" x14ac:dyDescent="0.3">
      <c r="A6" s="6" t="s">
        <v>18</v>
      </c>
      <c r="B6" s="9">
        <f t="shared" ref="B6:M6" si="0">B4-B5</f>
        <v>68451</v>
      </c>
      <c r="C6" s="9">
        <f t="shared" si="0"/>
        <v>15401</v>
      </c>
      <c r="D6" s="9">
        <f t="shared" si="0"/>
        <v>78702</v>
      </c>
      <c r="E6" s="9">
        <f t="shared" si="0"/>
        <v>0</v>
      </c>
      <c r="F6" s="9">
        <f t="shared" si="0"/>
        <v>0</v>
      </c>
      <c r="G6" s="9">
        <f t="shared" si="0"/>
        <v>0</v>
      </c>
      <c r="H6" s="9">
        <f t="shared" si="0"/>
        <v>0</v>
      </c>
      <c r="I6" s="9">
        <f t="shared" si="0"/>
        <v>0</v>
      </c>
      <c r="J6" s="9">
        <f t="shared" si="0"/>
        <v>0</v>
      </c>
      <c r="K6" s="9">
        <f t="shared" si="0"/>
        <v>0</v>
      </c>
      <c r="L6" s="9">
        <f t="shared" si="0"/>
        <v>0</v>
      </c>
      <c r="M6" s="9">
        <f t="shared" si="0"/>
        <v>0</v>
      </c>
      <c r="N6" s="9">
        <f>SUM(B6:M6)</f>
        <v>162554</v>
      </c>
      <c r="O6" s="9">
        <f>N6/COLUMNS(B6:M6)</f>
        <v>13546.166666666666</v>
      </c>
    </row>
    <row r="7" spans="1:15" x14ac:dyDescent="0.3">
      <c r="A7" s="6" t="s">
        <v>19</v>
      </c>
      <c r="B7" s="7">
        <f>B4-B5</f>
        <v>68451</v>
      </c>
      <c r="C7" s="7">
        <f t="shared" ref="C7:O7" si="1">C4-C5</f>
        <v>15401</v>
      </c>
      <c r="D7" s="7">
        <f t="shared" si="1"/>
        <v>78702</v>
      </c>
      <c r="E7" s="7">
        <f t="shared" si="1"/>
        <v>0</v>
      </c>
      <c r="F7" s="7">
        <f t="shared" si="1"/>
        <v>0</v>
      </c>
      <c r="G7" s="7">
        <f t="shared" si="1"/>
        <v>0</v>
      </c>
      <c r="H7" s="7">
        <f t="shared" si="1"/>
        <v>0</v>
      </c>
      <c r="I7" s="7">
        <f t="shared" si="1"/>
        <v>0</v>
      </c>
      <c r="J7" s="7">
        <f t="shared" si="1"/>
        <v>0</v>
      </c>
      <c r="K7" s="7">
        <f t="shared" si="1"/>
        <v>0</v>
      </c>
      <c r="L7" s="7">
        <f t="shared" si="1"/>
        <v>0</v>
      </c>
      <c r="M7" s="7">
        <f t="shared" si="1"/>
        <v>0</v>
      </c>
      <c r="N7" s="7">
        <f t="shared" si="1"/>
        <v>162554</v>
      </c>
      <c r="O7" s="7">
        <f t="shared" si="1"/>
        <v>13546.166666666666</v>
      </c>
    </row>
    <row r="8" spans="1:15" x14ac:dyDescent="0.3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</row>
    <row r="9" spans="1:15" x14ac:dyDescent="0.3">
      <c r="A9" s="11" t="s">
        <v>20</v>
      </c>
      <c r="B9" s="12" t="s">
        <v>4</v>
      </c>
      <c r="C9" s="12" t="s">
        <v>5</v>
      </c>
      <c r="D9" s="12" t="s">
        <v>6</v>
      </c>
      <c r="E9" s="12" t="s">
        <v>7</v>
      </c>
      <c r="F9" s="12" t="s">
        <v>8</v>
      </c>
      <c r="G9" s="12" t="s">
        <v>9</v>
      </c>
      <c r="H9" s="12" t="s">
        <v>10</v>
      </c>
      <c r="I9" s="12" t="s">
        <v>11</v>
      </c>
      <c r="J9" s="12" t="s">
        <v>12</v>
      </c>
      <c r="K9" s="12" t="s">
        <v>13</v>
      </c>
      <c r="L9" s="12" t="s">
        <v>14</v>
      </c>
      <c r="M9" s="12" t="s">
        <v>15</v>
      </c>
      <c r="N9" s="13" t="s">
        <v>1</v>
      </c>
      <c r="O9" s="13" t="s">
        <v>16</v>
      </c>
    </row>
    <row r="10" spans="1:15" x14ac:dyDescent="0.3">
      <c r="A10" s="14" t="s">
        <v>21</v>
      </c>
      <c r="B10" s="15">
        <v>70000</v>
      </c>
      <c r="C10" s="15">
        <v>70000</v>
      </c>
      <c r="D10" s="15">
        <v>70000</v>
      </c>
      <c r="E10" s="15"/>
      <c r="F10" s="15"/>
      <c r="G10" s="15"/>
      <c r="H10" s="15"/>
      <c r="I10" s="15"/>
      <c r="J10" s="15"/>
      <c r="K10" s="15"/>
      <c r="L10" s="15"/>
      <c r="M10" s="15"/>
      <c r="N10" s="16">
        <f t="shared" ref="N10:N12" si="2">SUM(B10:M10)</f>
        <v>210000</v>
      </c>
      <c r="O10" s="16">
        <f t="shared" ref="O10:O12" si="3">N10/COLUMNS(B10:M10)</f>
        <v>17500</v>
      </c>
    </row>
    <row r="11" spans="1:15" x14ac:dyDescent="0.3">
      <c r="A11" s="14" t="s">
        <v>22</v>
      </c>
      <c r="B11" s="15">
        <v>15000</v>
      </c>
      <c r="C11" s="15">
        <v>10000</v>
      </c>
      <c r="D11" s="15">
        <v>5000</v>
      </c>
      <c r="E11" s="15"/>
      <c r="F11" s="15"/>
      <c r="G11" s="15"/>
      <c r="H11" s="15"/>
      <c r="I11" s="15"/>
      <c r="J11" s="15"/>
      <c r="K11" s="15"/>
      <c r="L11" s="15"/>
      <c r="M11" s="15"/>
      <c r="N11" s="16">
        <f t="shared" si="2"/>
        <v>30000</v>
      </c>
      <c r="O11" s="16">
        <f t="shared" si="3"/>
        <v>2500</v>
      </c>
    </row>
    <row r="12" spans="1:15" x14ac:dyDescent="0.3">
      <c r="A12" s="14" t="s">
        <v>23</v>
      </c>
      <c r="B12" s="15">
        <v>25000</v>
      </c>
      <c r="C12" s="15">
        <v>25000</v>
      </c>
      <c r="D12" s="15">
        <v>25000</v>
      </c>
      <c r="E12" s="15"/>
      <c r="F12" s="15"/>
      <c r="G12" s="15"/>
      <c r="H12" s="15"/>
      <c r="I12" s="15"/>
      <c r="J12" s="15"/>
      <c r="K12" s="15"/>
      <c r="L12" s="15"/>
      <c r="M12" s="15"/>
      <c r="N12" s="16">
        <f t="shared" si="2"/>
        <v>75000</v>
      </c>
      <c r="O12" s="16">
        <f t="shared" si="3"/>
        <v>6250</v>
      </c>
    </row>
    <row r="13" spans="1:15" x14ac:dyDescent="0.3">
      <c r="A13" s="17" t="str">
        <f>"Total " &amp; Table2[[#Headers],[INCOME]]</f>
        <v>Total INCOME</v>
      </c>
      <c r="B13" s="18">
        <f>SUBTOTAL(109,Table2[JAN])</f>
        <v>110000</v>
      </c>
      <c r="C13" s="18">
        <f>SUBTOTAL(109,Table2[FEB])</f>
        <v>105000</v>
      </c>
      <c r="D13" s="18">
        <f>SUBTOTAL(109,Table2[MAR])</f>
        <v>100000</v>
      </c>
      <c r="E13" s="18">
        <f>SUBTOTAL(109,Table2[APR])</f>
        <v>0</v>
      </c>
      <c r="F13" s="18">
        <f>SUBTOTAL(109,Table2[MAY])</f>
        <v>0</v>
      </c>
      <c r="G13" s="18">
        <f>SUBTOTAL(109,Table2[JUN])</f>
        <v>0</v>
      </c>
      <c r="H13" s="18">
        <f>SUBTOTAL(109,Table2[JUL])</f>
        <v>0</v>
      </c>
      <c r="I13" s="18">
        <f>SUBTOTAL(109,Table2[AUG])</f>
        <v>0</v>
      </c>
      <c r="J13" s="18">
        <f>SUBTOTAL(109,Table2[SEP])</f>
        <v>0</v>
      </c>
      <c r="K13" s="18">
        <f>SUBTOTAL(109,Table2[OCT])</f>
        <v>0</v>
      </c>
      <c r="L13" s="18">
        <f>SUBTOTAL(109,Table2[NOV])</f>
        <v>0</v>
      </c>
      <c r="M13" s="18">
        <f>SUBTOTAL(109,Table2[DEC])</f>
        <v>0</v>
      </c>
      <c r="N13" s="19">
        <f>SUBTOTAL(109,Table2[Total])</f>
        <v>315000</v>
      </c>
      <c r="O13" s="19">
        <f>Table2[[#Totals],[Total]]/COLUMNS(Table2[[#Totals],[JAN]:[DEC]])</f>
        <v>26250</v>
      </c>
    </row>
    <row r="14" spans="1:15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</row>
    <row r="15" spans="1:15" x14ac:dyDescent="0.3">
      <c r="A15" s="11" t="s">
        <v>24</v>
      </c>
      <c r="B15" s="12" t="s">
        <v>4</v>
      </c>
      <c r="C15" s="12" t="s">
        <v>5</v>
      </c>
      <c r="D15" s="12" t="s">
        <v>6</v>
      </c>
      <c r="E15" s="12" t="s">
        <v>7</v>
      </c>
      <c r="F15" s="12" t="s">
        <v>8</v>
      </c>
      <c r="G15" s="12" t="s">
        <v>9</v>
      </c>
      <c r="H15" s="12" t="s">
        <v>10</v>
      </c>
      <c r="I15" s="12" t="s">
        <v>11</v>
      </c>
      <c r="J15" s="12" t="s">
        <v>12</v>
      </c>
      <c r="K15" s="12" t="s">
        <v>13</v>
      </c>
      <c r="L15" s="12" t="s">
        <v>14</v>
      </c>
      <c r="M15" s="12" t="s">
        <v>15</v>
      </c>
      <c r="N15" s="13" t="s">
        <v>1</v>
      </c>
      <c r="O15" s="13" t="s">
        <v>16</v>
      </c>
    </row>
    <row r="16" spans="1:15" x14ac:dyDescent="0.3">
      <c r="A16" s="14" t="s">
        <v>25</v>
      </c>
      <c r="B16" s="15">
        <v>500</v>
      </c>
      <c r="C16" s="15">
        <v>600</v>
      </c>
      <c r="D16" s="15">
        <v>900</v>
      </c>
      <c r="E16" s="15"/>
      <c r="F16" s="15"/>
      <c r="G16" s="15"/>
      <c r="H16" s="15"/>
      <c r="I16" s="15"/>
      <c r="J16" s="15"/>
      <c r="K16" s="15"/>
      <c r="L16" s="15"/>
      <c r="M16" s="15"/>
      <c r="N16" s="16">
        <f t="shared" ref="N16:N25" si="4">SUM(B16:M16)</f>
        <v>2000</v>
      </c>
      <c r="O16" s="16">
        <f t="shared" ref="O16:O25" si="5">N16/COLUMNS(B16:M16)</f>
        <v>166.66666666666666</v>
      </c>
    </row>
    <row r="17" spans="1:15" x14ac:dyDescent="0.3">
      <c r="A17" s="14" t="s">
        <v>26</v>
      </c>
      <c r="B17" s="15">
        <v>900</v>
      </c>
      <c r="C17" s="15">
        <v>900</v>
      </c>
      <c r="D17" s="15">
        <v>900</v>
      </c>
      <c r="E17" s="15"/>
      <c r="F17" s="15"/>
      <c r="G17" s="15"/>
      <c r="H17" s="15"/>
      <c r="I17" s="15"/>
      <c r="J17" s="15"/>
      <c r="K17" s="15"/>
      <c r="L17" s="15"/>
      <c r="M17" s="15"/>
      <c r="N17" s="16">
        <f t="shared" si="4"/>
        <v>2700</v>
      </c>
      <c r="O17" s="16">
        <f t="shared" si="5"/>
        <v>225</v>
      </c>
    </row>
    <row r="18" spans="1:15" x14ac:dyDescent="0.3">
      <c r="A18" s="14" t="s">
        <v>27</v>
      </c>
      <c r="B18" s="15">
        <v>300</v>
      </c>
      <c r="C18" s="15">
        <v>300</v>
      </c>
      <c r="D18" s="15">
        <v>300</v>
      </c>
      <c r="E18" s="15"/>
      <c r="F18" s="15"/>
      <c r="G18" s="15"/>
      <c r="H18" s="15"/>
      <c r="I18" s="15"/>
      <c r="J18" s="15"/>
      <c r="K18" s="15"/>
      <c r="L18" s="15"/>
      <c r="M18" s="15"/>
      <c r="N18" s="16">
        <f t="shared" si="4"/>
        <v>900</v>
      </c>
      <c r="O18" s="16">
        <f t="shared" si="5"/>
        <v>75</v>
      </c>
    </row>
    <row r="19" spans="1:15" x14ac:dyDescent="0.3">
      <c r="A19" s="14" t="s">
        <v>28</v>
      </c>
      <c r="B19" s="15">
        <v>1000</v>
      </c>
      <c r="C19" s="15">
        <v>1000</v>
      </c>
      <c r="D19" s="15">
        <v>999</v>
      </c>
      <c r="E19" s="15"/>
      <c r="F19" s="15"/>
      <c r="G19" s="15"/>
      <c r="H19" s="15"/>
      <c r="I19" s="15"/>
      <c r="J19" s="15"/>
      <c r="K19" s="15"/>
      <c r="L19" s="15"/>
      <c r="M19" s="15"/>
      <c r="N19" s="16">
        <f t="shared" si="4"/>
        <v>2999</v>
      </c>
      <c r="O19" s="16">
        <f t="shared" si="5"/>
        <v>249.91666666666666</v>
      </c>
    </row>
    <row r="20" spans="1:15" x14ac:dyDescent="0.3">
      <c r="A20" s="14" t="s">
        <v>29</v>
      </c>
      <c r="B20" s="15">
        <v>999</v>
      </c>
      <c r="C20" s="15">
        <v>999</v>
      </c>
      <c r="D20" s="15">
        <v>999</v>
      </c>
      <c r="E20" s="15"/>
      <c r="F20" s="15"/>
      <c r="G20" s="15"/>
      <c r="H20" s="15"/>
      <c r="I20" s="15"/>
      <c r="J20" s="15"/>
      <c r="K20" s="15"/>
      <c r="L20" s="15"/>
      <c r="M20" s="15"/>
      <c r="N20" s="16">
        <f t="shared" si="4"/>
        <v>2997</v>
      </c>
      <c r="O20" s="16">
        <f t="shared" si="5"/>
        <v>249.75</v>
      </c>
    </row>
    <row r="21" spans="1:15" x14ac:dyDescent="0.3">
      <c r="A21" s="14" t="s">
        <v>2</v>
      </c>
      <c r="B21" s="15">
        <v>6500</v>
      </c>
      <c r="C21" s="15">
        <v>7500</v>
      </c>
      <c r="D21" s="15">
        <v>3000</v>
      </c>
      <c r="E21" s="15"/>
      <c r="F21" s="15"/>
      <c r="G21" s="15"/>
      <c r="H21" s="15"/>
      <c r="I21" s="15"/>
      <c r="J21" s="15"/>
      <c r="K21" s="15"/>
      <c r="L21" s="15"/>
      <c r="M21" s="15"/>
      <c r="N21" s="16">
        <f t="shared" si="4"/>
        <v>17000</v>
      </c>
      <c r="O21" s="16">
        <f t="shared" si="5"/>
        <v>1416.6666666666667</v>
      </c>
    </row>
    <row r="22" spans="1:15" x14ac:dyDescent="0.3">
      <c r="A22" s="14" t="s">
        <v>30</v>
      </c>
      <c r="B22" s="15">
        <v>500</v>
      </c>
      <c r="C22" s="15">
        <v>0</v>
      </c>
      <c r="D22" s="15">
        <v>200</v>
      </c>
      <c r="E22" s="15"/>
      <c r="F22" s="15"/>
      <c r="G22" s="15"/>
      <c r="H22" s="15"/>
      <c r="I22" s="15"/>
      <c r="J22" s="15"/>
      <c r="K22" s="15"/>
      <c r="L22" s="15"/>
      <c r="M22" s="15"/>
      <c r="N22" s="16">
        <f t="shared" si="4"/>
        <v>700</v>
      </c>
      <c r="O22" s="16">
        <f t="shared" si="5"/>
        <v>58.333333333333336</v>
      </c>
    </row>
    <row r="23" spans="1:15" x14ac:dyDescent="0.3">
      <c r="A23" s="14" t="s">
        <v>31</v>
      </c>
      <c r="B23" s="15">
        <v>850</v>
      </c>
      <c r="C23" s="15">
        <v>0</v>
      </c>
      <c r="D23" s="15">
        <v>100</v>
      </c>
      <c r="E23" s="15"/>
      <c r="F23" s="15"/>
      <c r="G23" s="15"/>
      <c r="H23" s="15"/>
      <c r="I23" s="15"/>
      <c r="J23" s="15"/>
      <c r="K23" s="15"/>
      <c r="L23" s="15"/>
      <c r="M23" s="15"/>
      <c r="N23" s="16">
        <f t="shared" si="4"/>
        <v>950</v>
      </c>
      <c r="O23" s="16">
        <f t="shared" si="5"/>
        <v>79.166666666666671</v>
      </c>
    </row>
    <row r="24" spans="1:15" x14ac:dyDescent="0.3">
      <c r="A24" s="14" t="s">
        <v>32</v>
      </c>
      <c r="B24" s="15">
        <v>700</v>
      </c>
      <c r="C24" s="15">
        <v>300</v>
      </c>
      <c r="D24" s="15">
        <v>0</v>
      </c>
      <c r="E24" s="15"/>
      <c r="F24" s="15"/>
      <c r="G24" s="15"/>
      <c r="H24" s="15"/>
      <c r="I24" s="15"/>
      <c r="J24" s="15"/>
      <c r="K24" s="15"/>
      <c r="L24" s="15"/>
      <c r="M24" s="15"/>
      <c r="N24" s="16">
        <f t="shared" si="4"/>
        <v>1000</v>
      </c>
      <c r="O24" s="16">
        <f t="shared" si="5"/>
        <v>83.333333333333329</v>
      </c>
    </row>
    <row r="25" spans="1:15" x14ac:dyDescent="0.3">
      <c r="A25" s="14" t="s">
        <v>3</v>
      </c>
      <c r="B25" s="15">
        <v>2000</v>
      </c>
      <c r="C25" s="15">
        <v>1000</v>
      </c>
      <c r="D25" s="15">
        <v>500</v>
      </c>
      <c r="E25" s="15"/>
      <c r="F25" s="15"/>
      <c r="G25" s="15"/>
      <c r="H25" s="15"/>
      <c r="I25" s="15"/>
      <c r="J25" s="15"/>
      <c r="K25" s="15"/>
      <c r="L25" s="15"/>
      <c r="M25" s="15"/>
      <c r="N25" s="16">
        <f t="shared" si="4"/>
        <v>3500</v>
      </c>
      <c r="O25" s="16">
        <f t="shared" si="5"/>
        <v>291.66666666666669</v>
      </c>
    </row>
    <row r="26" spans="1:15" x14ac:dyDescent="0.3">
      <c r="A26" s="17" t="str">
        <f>"Total "&amp;Table3[[#Headers],[HOME EXPENSES]]</f>
        <v>Total HOME EXPENSES</v>
      </c>
      <c r="B26" s="18">
        <f>SUBTOTAL(109,Table3[JAN])</f>
        <v>14249</v>
      </c>
      <c r="C26" s="18">
        <f>SUBTOTAL(109,Table3[FEB])</f>
        <v>12599</v>
      </c>
      <c r="D26" s="18">
        <f>SUBTOTAL(109,Table3[MAR])</f>
        <v>7898</v>
      </c>
      <c r="E26" s="18">
        <f>SUBTOTAL(109,Table3[APR])</f>
        <v>0</v>
      </c>
      <c r="F26" s="18">
        <f>SUBTOTAL(109,Table3[MAY])</f>
        <v>0</v>
      </c>
      <c r="G26" s="18">
        <f>SUBTOTAL(109,Table3[JUN])</f>
        <v>0</v>
      </c>
      <c r="H26" s="18">
        <f>SUBTOTAL(109,Table3[JUL])</f>
        <v>0</v>
      </c>
      <c r="I26" s="18">
        <f>SUBTOTAL(109,Table3[AUG])</f>
        <v>0</v>
      </c>
      <c r="J26" s="18">
        <f>SUBTOTAL(109,Table3[SEP])</f>
        <v>0</v>
      </c>
      <c r="K26" s="18">
        <f>SUBTOTAL(109,Table3[OCT])</f>
        <v>0</v>
      </c>
      <c r="L26" s="18">
        <f>SUBTOTAL(109,Table3[NOV])</f>
        <v>0</v>
      </c>
      <c r="M26" s="18">
        <f>SUBTOTAL(109,Table3[DEC])</f>
        <v>0</v>
      </c>
      <c r="N26" s="19">
        <f>SUBTOTAL(109,Table3[Total])</f>
        <v>34746</v>
      </c>
      <c r="O26" s="19">
        <f>Table3[[#Totals],[Total]]/COLUMNS(Table3[[#Totals],[JAN]:[DEC]])</f>
        <v>2895.5</v>
      </c>
    </row>
    <row r="27" spans="1:15" x14ac:dyDescent="0.3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</row>
    <row r="28" spans="1:15" x14ac:dyDescent="0.3">
      <c r="A28" s="11" t="s">
        <v>33</v>
      </c>
      <c r="B28" s="12" t="s">
        <v>4</v>
      </c>
      <c r="C28" s="12" t="s">
        <v>5</v>
      </c>
      <c r="D28" s="12" t="s">
        <v>6</v>
      </c>
      <c r="E28" s="12" t="s">
        <v>7</v>
      </c>
      <c r="F28" s="12" t="s">
        <v>8</v>
      </c>
      <c r="G28" s="12" t="s">
        <v>9</v>
      </c>
      <c r="H28" s="12" t="s">
        <v>10</v>
      </c>
      <c r="I28" s="12" t="s">
        <v>11</v>
      </c>
      <c r="J28" s="12" t="s">
        <v>12</v>
      </c>
      <c r="K28" s="12" t="s">
        <v>13</v>
      </c>
      <c r="L28" s="12" t="s">
        <v>14</v>
      </c>
      <c r="M28" s="12" t="s">
        <v>15</v>
      </c>
      <c r="N28" s="13" t="s">
        <v>1</v>
      </c>
      <c r="O28" s="13" t="s">
        <v>16</v>
      </c>
    </row>
    <row r="29" spans="1:15" x14ac:dyDescent="0.3">
      <c r="A29" s="14" t="s">
        <v>34</v>
      </c>
      <c r="B29" s="15">
        <v>1000</v>
      </c>
      <c r="C29" s="15">
        <v>5000</v>
      </c>
      <c r="D29" s="15">
        <v>1000</v>
      </c>
      <c r="E29" s="15"/>
      <c r="F29" s="15"/>
      <c r="G29" s="15"/>
      <c r="H29" s="15"/>
      <c r="I29" s="15"/>
      <c r="J29" s="15"/>
      <c r="K29" s="15"/>
      <c r="L29" s="15"/>
      <c r="M29" s="15"/>
      <c r="N29" s="16">
        <f t="shared" ref="N29:N43" si="6">SUM(B29:M29)</f>
        <v>7000</v>
      </c>
      <c r="O29" s="16">
        <f t="shared" ref="O29:O30" si="7">N29/COLUMNS(B29:M29)</f>
        <v>583.33333333333337</v>
      </c>
    </row>
    <row r="30" spans="1:15" x14ac:dyDescent="0.3">
      <c r="A30" s="14" t="s">
        <v>35</v>
      </c>
      <c r="B30" s="15">
        <v>1000</v>
      </c>
      <c r="C30" s="15">
        <v>500</v>
      </c>
      <c r="D30" s="15">
        <v>200</v>
      </c>
      <c r="E30" s="15"/>
      <c r="F30" s="15"/>
      <c r="G30" s="15"/>
      <c r="H30" s="15"/>
      <c r="I30" s="15"/>
      <c r="J30" s="15"/>
      <c r="K30" s="15"/>
      <c r="L30" s="15"/>
      <c r="M30" s="15"/>
      <c r="N30" s="16">
        <f t="shared" si="6"/>
        <v>1700</v>
      </c>
      <c r="O30" s="16">
        <f t="shared" si="7"/>
        <v>141.66666666666666</v>
      </c>
    </row>
    <row r="31" spans="1:15" x14ac:dyDescent="0.3">
      <c r="A31" s="17" t="str">
        <f>"Total "&amp;Table4[[#Headers],[TRANSPORTATION]]</f>
        <v>Total TRANSPORTATION</v>
      </c>
      <c r="B31" s="18">
        <f>SUBTOTAL(109,Table4[JAN])</f>
        <v>2000</v>
      </c>
      <c r="C31" s="18">
        <f>SUBTOTAL(109,Table4[FEB])</f>
        <v>5500</v>
      </c>
      <c r="D31" s="18">
        <f>SUBTOTAL(109,Table4[MAR])</f>
        <v>1200</v>
      </c>
      <c r="E31" s="18">
        <f>SUBTOTAL(109,Table4[APR])</f>
        <v>0</v>
      </c>
      <c r="F31" s="18">
        <f>SUBTOTAL(109,Table4[MAY])</f>
        <v>0</v>
      </c>
      <c r="G31" s="18">
        <f>SUBTOTAL(109,Table4[JUN])</f>
        <v>0</v>
      </c>
      <c r="H31" s="18">
        <f>SUBTOTAL(109,Table4[JUL])</f>
        <v>0</v>
      </c>
      <c r="I31" s="18">
        <f>SUBTOTAL(109,Table4[AUG])</f>
        <v>0</v>
      </c>
      <c r="J31" s="18">
        <f>SUBTOTAL(109,Table4[SEP])</f>
        <v>0</v>
      </c>
      <c r="K31" s="18">
        <f>SUBTOTAL(109,Table4[OCT])</f>
        <v>0</v>
      </c>
      <c r="L31" s="18">
        <f>SUBTOTAL(109,Table4[NOV])</f>
        <v>0</v>
      </c>
      <c r="M31" s="18">
        <f>SUBTOTAL(109,Table4[DEC])</f>
        <v>0</v>
      </c>
      <c r="N31" s="19">
        <f>SUBTOTAL(109,Table4[Total])</f>
        <v>8700</v>
      </c>
      <c r="O31" s="19">
        <f>Table4[[#Totals],[Total]]/COLUMNS(Table4[[#Totals],[JAN]:[DEC]])</f>
        <v>725</v>
      </c>
    </row>
    <row r="32" spans="1:15" x14ac:dyDescent="0.3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8"/>
      <c r="O32" s="18"/>
    </row>
    <row r="33" spans="1:15" x14ac:dyDescent="0.3">
      <c r="A33" s="11" t="s">
        <v>36</v>
      </c>
      <c r="B33" s="12" t="s">
        <v>4</v>
      </c>
      <c r="C33" s="12" t="s">
        <v>5</v>
      </c>
      <c r="D33" s="12" t="s">
        <v>6</v>
      </c>
      <c r="E33" s="12" t="s">
        <v>7</v>
      </c>
      <c r="F33" s="12" t="s">
        <v>8</v>
      </c>
      <c r="G33" s="12" t="s">
        <v>9</v>
      </c>
      <c r="H33" s="12" t="s">
        <v>10</v>
      </c>
      <c r="I33" s="12" t="s">
        <v>11</v>
      </c>
      <c r="J33" s="12" t="s">
        <v>12</v>
      </c>
      <c r="K33" s="12" t="s">
        <v>13</v>
      </c>
      <c r="L33" s="12" t="s">
        <v>14</v>
      </c>
      <c r="M33" s="12" t="s">
        <v>15</v>
      </c>
      <c r="N33" s="13" t="s">
        <v>1</v>
      </c>
      <c r="O33" s="13" t="s">
        <v>16</v>
      </c>
    </row>
    <row r="34" spans="1:15" x14ac:dyDescent="0.3">
      <c r="A34" s="14" t="s">
        <v>37</v>
      </c>
      <c r="B34" s="15">
        <v>8000</v>
      </c>
      <c r="C34" s="15">
        <v>5000</v>
      </c>
      <c r="D34" s="15">
        <v>5000</v>
      </c>
      <c r="E34" s="15"/>
      <c r="F34" s="15"/>
      <c r="G34" s="15"/>
      <c r="H34" s="15"/>
      <c r="I34" s="15"/>
      <c r="J34" s="15"/>
      <c r="K34" s="15"/>
      <c r="L34" s="15"/>
      <c r="M34" s="15"/>
      <c r="N34" s="16">
        <f t="shared" si="6"/>
        <v>18000</v>
      </c>
      <c r="O34" s="16">
        <f t="shared" ref="O34:O37" si="8">N34/COLUMNS(B34:M34)</f>
        <v>1500</v>
      </c>
    </row>
    <row r="35" spans="1:15" x14ac:dyDescent="0.3">
      <c r="A35" s="14" t="s">
        <v>38</v>
      </c>
      <c r="B35" s="15">
        <v>600</v>
      </c>
      <c r="C35" s="15">
        <v>0</v>
      </c>
      <c r="D35" s="15">
        <v>0</v>
      </c>
      <c r="E35" s="15"/>
      <c r="F35" s="15"/>
      <c r="G35" s="15"/>
      <c r="H35" s="15"/>
      <c r="I35" s="15"/>
      <c r="J35" s="15"/>
      <c r="K35" s="15"/>
      <c r="L35" s="15"/>
      <c r="M35" s="15"/>
      <c r="N35" s="16">
        <f t="shared" si="6"/>
        <v>600</v>
      </c>
      <c r="O35" s="16">
        <f t="shared" si="8"/>
        <v>50</v>
      </c>
    </row>
    <row r="36" spans="1:15" x14ac:dyDescent="0.3">
      <c r="A36" s="14" t="s">
        <v>39</v>
      </c>
      <c r="B36" s="15">
        <v>200</v>
      </c>
      <c r="C36" s="15">
        <v>0</v>
      </c>
      <c r="D36" s="15">
        <v>0</v>
      </c>
      <c r="E36" s="15"/>
      <c r="F36" s="15"/>
      <c r="G36" s="15"/>
      <c r="H36" s="15"/>
      <c r="I36" s="15"/>
      <c r="J36" s="15"/>
      <c r="K36" s="15"/>
      <c r="L36" s="15"/>
      <c r="M36" s="15"/>
      <c r="N36" s="16">
        <f t="shared" si="6"/>
        <v>200</v>
      </c>
      <c r="O36" s="16">
        <f t="shared" si="8"/>
        <v>16.666666666666668</v>
      </c>
    </row>
    <row r="37" spans="1:15" x14ac:dyDescent="0.3">
      <c r="A37" s="14" t="s">
        <v>40</v>
      </c>
      <c r="B37" s="15">
        <v>10000</v>
      </c>
      <c r="C37" s="15">
        <v>10000</v>
      </c>
      <c r="D37" s="15">
        <v>5000</v>
      </c>
      <c r="E37" s="15"/>
      <c r="F37" s="15"/>
      <c r="G37" s="15"/>
      <c r="H37" s="15"/>
      <c r="I37" s="15"/>
      <c r="J37" s="15"/>
      <c r="K37" s="15"/>
      <c r="L37" s="15"/>
      <c r="M37" s="15"/>
      <c r="N37" s="16">
        <f t="shared" si="6"/>
        <v>25000</v>
      </c>
      <c r="O37" s="16">
        <f t="shared" si="8"/>
        <v>2083.3333333333335</v>
      </c>
    </row>
    <row r="38" spans="1:15" x14ac:dyDescent="0.3">
      <c r="A38" s="17" t="str">
        <f>"Total "&amp;Table5[[#Headers],[HEALTH]]</f>
        <v>Total HEALTH</v>
      </c>
      <c r="B38" s="18">
        <f>SUBTOTAL(109,Table5[JAN])</f>
        <v>18800</v>
      </c>
      <c r="C38" s="18">
        <f>SUBTOTAL(109,Table5[FEB])</f>
        <v>15000</v>
      </c>
      <c r="D38" s="18">
        <f>SUBTOTAL(109,Table5[MAR])</f>
        <v>10000</v>
      </c>
      <c r="E38" s="18">
        <f>SUBTOTAL(109,Table5[APR])</f>
        <v>0</v>
      </c>
      <c r="F38" s="18">
        <f>SUBTOTAL(109,Table5[MAY])</f>
        <v>0</v>
      </c>
      <c r="G38" s="18">
        <f>SUBTOTAL(109,Table5[JUN])</f>
        <v>0</v>
      </c>
      <c r="H38" s="18">
        <f>SUBTOTAL(109,Table5[JUL])</f>
        <v>0</v>
      </c>
      <c r="I38" s="18">
        <f>SUBTOTAL(109,Table5[AUG])</f>
        <v>0</v>
      </c>
      <c r="J38" s="18">
        <f>SUBTOTAL(109,Table5[SEP])</f>
        <v>0</v>
      </c>
      <c r="K38" s="18">
        <f>SUBTOTAL(109,Table5[OCT])</f>
        <v>0</v>
      </c>
      <c r="L38" s="18">
        <f>SUBTOTAL(109,Table5[NOV])</f>
        <v>0</v>
      </c>
      <c r="M38" s="18">
        <f>SUBTOTAL(109,Table5[DEC])</f>
        <v>0</v>
      </c>
      <c r="N38" s="18">
        <f>SUBTOTAL(109,Table5[Total])</f>
        <v>43800</v>
      </c>
      <c r="O38" s="19">
        <f>Table5[[#Totals],[Total]]/COLUMNS(Table5[[#Totals],[JAN]:[DEC]])</f>
        <v>3650</v>
      </c>
    </row>
    <row r="39" spans="1:15" x14ac:dyDescent="0.3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8"/>
      <c r="O39" s="18"/>
    </row>
    <row r="40" spans="1:15" x14ac:dyDescent="0.3">
      <c r="A40" s="11" t="s">
        <v>41</v>
      </c>
      <c r="B40" s="12" t="s">
        <v>4</v>
      </c>
      <c r="C40" s="12" t="s">
        <v>5</v>
      </c>
      <c r="D40" s="12" t="s">
        <v>6</v>
      </c>
      <c r="E40" s="12" t="s">
        <v>7</v>
      </c>
      <c r="F40" s="12" t="s">
        <v>8</v>
      </c>
      <c r="G40" s="12" t="s">
        <v>9</v>
      </c>
      <c r="H40" s="12" t="s">
        <v>10</v>
      </c>
      <c r="I40" s="12" t="s">
        <v>11</v>
      </c>
      <c r="J40" s="12" t="s">
        <v>12</v>
      </c>
      <c r="K40" s="12" t="s">
        <v>13</v>
      </c>
      <c r="L40" s="12" t="s">
        <v>14</v>
      </c>
      <c r="M40" s="12" t="s">
        <v>15</v>
      </c>
      <c r="N40" s="13" t="s">
        <v>1</v>
      </c>
      <c r="O40" s="13" t="s">
        <v>16</v>
      </c>
    </row>
    <row r="41" spans="1:15" x14ac:dyDescent="0.3">
      <c r="A41" s="14" t="s">
        <v>42</v>
      </c>
      <c r="B41" s="15">
        <v>500</v>
      </c>
      <c r="C41" s="15">
        <v>1000</v>
      </c>
      <c r="D41" s="15">
        <v>0</v>
      </c>
      <c r="E41" s="15"/>
      <c r="F41" s="15"/>
      <c r="G41" s="15"/>
      <c r="H41" s="15"/>
      <c r="I41" s="15"/>
      <c r="J41" s="15"/>
      <c r="K41" s="15"/>
      <c r="L41" s="15"/>
      <c r="M41" s="15"/>
      <c r="N41" s="16">
        <f t="shared" ref="N41" si="9">SUM(B41:M41)</f>
        <v>1500</v>
      </c>
      <c r="O41" s="16">
        <f t="shared" ref="O41:O43" si="10">N41/COLUMNS(B41:M41)</f>
        <v>125</v>
      </c>
    </row>
    <row r="42" spans="1:15" x14ac:dyDescent="0.3">
      <c r="A42" s="14" t="s">
        <v>43</v>
      </c>
      <c r="B42" s="15">
        <v>1000</v>
      </c>
      <c r="C42" s="15">
        <v>500</v>
      </c>
      <c r="D42" s="15">
        <v>200</v>
      </c>
      <c r="E42" s="15"/>
      <c r="F42" s="15"/>
      <c r="G42" s="15"/>
      <c r="H42" s="15"/>
      <c r="I42" s="15"/>
      <c r="J42" s="15"/>
      <c r="K42" s="15"/>
      <c r="L42" s="15"/>
      <c r="M42" s="15"/>
      <c r="N42" s="16">
        <f t="shared" si="6"/>
        <v>1700</v>
      </c>
      <c r="O42" s="16">
        <f t="shared" si="10"/>
        <v>141.66666666666666</v>
      </c>
    </row>
    <row r="43" spans="1:15" x14ac:dyDescent="0.3">
      <c r="A43" s="14" t="s">
        <v>44</v>
      </c>
      <c r="B43" s="15">
        <v>5000</v>
      </c>
      <c r="C43" s="15">
        <v>55000</v>
      </c>
      <c r="D43" s="15">
        <v>2000</v>
      </c>
      <c r="E43" s="15"/>
      <c r="F43" s="15"/>
      <c r="G43" s="15"/>
      <c r="H43" s="15"/>
      <c r="I43" s="15"/>
      <c r="J43" s="15"/>
      <c r="K43" s="15"/>
      <c r="L43" s="15"/>
      <c r="M43" s="15"/>
      <c r="N43" s="16">
        <f t="shared" si="6"/>
        <v>62000</v>
      </c>
      <c r="O43" s="16">
        <f t="shared" si="10"/>
        <v>5166.666666666667</v>
      </c>
    </row>
    <row r="44" spans="1:15" x14ac:dyDescent="0.3">
      <c r="A44" s="17" t="str">
        <f>"Total " &amp; Table8[[#Headers],[ENTERTAINMENT]]</f>
        <v>Total ENTERTAINMENT</v>
      </c>
      <c r="B44" s="18">
        <f>SUBTOTAL(109,Table8[JAN])</f>
        <v>6500</v>
      </c>
      <c r="C44" s="18">
        <f>SUBTOTAL(109,Table8[FEB])</f>
        <v>56500</v>
      </c>
      <c r="D44" s="18">
        <f>SUBTOTAL(109,Table8[MAR])</f>
        <v>2200</v>
      </c>
      <c r="E44" s="18">
        <f>SUBTOTAL(109,Table8[APR])</f>
        <v>0</v>
      </c>
      <c r="F44" s="18">
        <f>SUBTOTAL(109,Table8[MAY])</f>
        <v>0</v>
      </c>
      <c r="G44" s="18">
        <f>SUBTOTAL(109,Table8[JUN])</f>
        <v>0</v>
      </c>
      <c r="H44" s="18">
        <f>SUBTOTAL(109,Table8[JUL])</f>
        <v>0</v>
      </c>
      <c r="I44" s="18">
        <f>SUBTOTAL(109,Table8[AUG])</f>
        <v>0</v>
      </c>
      <c r="J44" s="18">
        <f>SUBTOTAL(109,Table8[SEP])</f>
        <v>0</v>
      </c>
      <c r="K44" s="18">
        <f>SUBTOTAL(109,Table8[OCT])</f>
        <v>0</v>
      </c>
      <c r="L44" s="18">
        <f>SUBTOTAL(109,Table8[NOV])</f>
        <v>0</v>
      </c>
      <c r="M44" s="18">
        <f>SUBTOTAL(109,Table8[DEC])</f>
        <v>0</v>
      </c>
      <c r="N44" s="19">
        <f>SUBTOTAL(109,Table8[Total])</f>
        <v>65200</v>
      </c>
      <c r="O44" s="19">
        <f>Table8[[#Totals],[Total]]/COLUMNS(Table8[[#Totals],[JAN]:[DEC]])</f>
        <v>5433.333333333333</v>
      </c>
    </row>
  </sheetData>
  <pageMargins left="0.7" right="0.7" top="0.75" bottom="0.75" header="0.3" footer="0.3"/>
  <legacyDrawing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17681-ECE3-4137-AA2E-22C5C252623D}">
  <dimension ref="A1:M28"/>
  <sheetViews>
    <sheetView topLeftCell="A5" workbookViewId="0">
      <selection activeCell="Q9" sqref="Q9"/>
    </sheetView>
  </sheetViews>
  <sheetFormatPr defaultRowHeight="14.4" x14ac:dyDescent="0.3"/>
  <cols>
    <col min="1" max="1" width="20.6640625" customWidth="1"/>
    <col min="2" max="2" width="14.77734375" customWidth="1"/>
    <col min="3" max="3" width="16.6640625" customWidth="1"/>
    <col min="4" max="4" width="16.77734375" customWidth="1"/>
    <col min="5" max="5" width="10.44140625" customWidth="1"/>
  </cols>
  <sheetData>
    <row r="1" spans="1:13" x14ac:dyDescent="0.3">
      <c r="C1" s="20"/>
      <c r="D1" s="20" t="s">
        <v>45</v>
      </c>
      <c r="E1" s="20"/>
      <c r="F1" s="20"/>
    </row>
    <row r="3" spans="1:13" x14ac:dyDescent="0.3">
      <c r="A3" t="s">
        <v>24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</row>
    <row r="4" spans="1:13" x14ac:dyDescent="0.3">
      <c r="A4" t="s">
        <v>46</v>
      </c>
      <c r="B4">
        <v>10000</v>
      </c>
      <c r="C4">
        <v>10000</v>
      </c>
      <c r="D4">
        <v>10000</v>
      </c>
    </row>
    <row r="5" spans="1:13" x14ac:dyDescent="0.3">
      <c r="A5" t="s">
        <v>47</v>
      </c>
      <c r="B5" s="21">
        <f>Table3[[#Totals],[JAN]]</f>
        <v>14249</v>
      </c>
      <c r="C5" s="21">
        <f>Table3[[#Totals],[FEB]]</f>
        <v>12599</v>
      </c>
      <c r="D5" s="21">
        <f>Table3[[#Totals],[MAR]]</f>
        <v>7898</v>
      </c>
      <c r="E5" s="21">
        <f>Table3[[#Totals],[APR]]</f>
        <v>0</v>
      </c>
      <c r="F5" s="21">
        <f>Table3[[#Totals],[MAY]]</f>
        <v>0</v>
      </c>
      <c r="G5" s="21">
        <f>Table3[[#Totals],[JUN]]</f>
        <v>0</v>
      </c>
      <c r="H5" s="21">
        <f>Table3[[#Totals],[JUL]]</f>
        <v>0</v>
      </c>
      <c r="I5" s="21">
        <f>Table3[[#Totals],[AUG]]</f>
        <v>0</v>
      </c>
      <c r="J5" s="21">
        <f>Table3[[#Totals],[SEP]]</f>
        <v>0</v>
      </c>
      <c r="K5" s="21">
        <f>Table3[[#Totals],[OCT]]</f>
        <v>0</v>
      </c>
      <c r="L5" s="21">
        <f>Table3[[#Totals],[NOV]]</f>
        <v>0</v>
      </c>
      <c r="M5" s="21">
        <f>Table3[[#Totals],[DEC]]</f>
        <v>0</v>
      </c>
    </row>
    <row r="6" spans="1:13" x14ac:dyDescent="0.3">
      <c r="A6" t="s">
        <v>49</v>
      </c>
      <c r="B6" s="21">
        <f>B4-B5</f>
        <v>-4249</v>
      </c>
      <c r="C6" s="21">
        <f t="shared" ref="C6:M6" si="0">C4-C5</f>
        <v>-2599</v>
      </c>
      <c r="D6" s="21">
        <f t="shared" si="0"/>
        <v>2102</v>
      </c>
      <c r="E6" s="21">
        <f t="shared" si="0"/>
        <v>0</v>
      </c>
      <c r="F6" s="21">
        <f t="shared" si="0"/>
        <v>0</v>
      </c>
      <c r="G6" s="21">
        <f t="shared" si="0"/>
        <v>0</v>
      </c>
      <c r="H6" s="21">
        <f t="shared" si="0"/>
        <v>0</v>
      </c>
      <c r="I6" s="21">
        <f t="shared" si="0"/>
        <v>0</v>
      </c>
      <c r="J6" s="21">
        <f t="shared" si="0"/>
        <v>0</v>
      </c>
      <c r="K6" s="21">
        <f t="shared" si="0"/>
        <v>0</v>
      </c>
      <c r="L6" s="21">
        <f t="shared" si="0"/>
        <v>0</v>
      </c>
      <c r="M6" s="21">
        <f t="shared" si="0"/>
        <v>0</v>
      </c>
    </row>
    <row r="7" spans="1:13" x14ac:dyDescent="0.3">
      <c r="A7" t="s">
        <v>48</v>
      </c>
      <c r="B7" s="23" t="str">
        <f>IF(B6&gt;0,"Under Budget",IF(B6&lt;0,"Over Budget","On Target"))</f>
        <v>Over Budget</v>
      </c>
      <c r="C7" s="23" t="str">
        <f>IF(C6&gt;0,"Under Budget",IF(C6&lt;0,"Over Budget","On Target"))</f>
        <v>Over Budget</v>
      </c>
      <c r="D7" s="24" t="str">
        <f>IF(D6&gt;0,"Under Budget",IF(D6&lt;0,"Over Budget","On Target"))</f>
        <v>Under Budget</v>
      </c>
    </row>
    <row r="10" spans="1:13" x14ac:dyDescent="0.3">
      <c r="A10" t="s">
        <v>33</v>
      </c>
      <c r="B10" t="s">
        <v>4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H10" t="s">
        <v>10</v>
      </c>
      <c r="I10" t="s">
        <v>11</v>
      </c>
      <c r="J10" t="s">
        <v>12</v>
      </c>
      <c r="K10" t="s">
        <v>13</v>
      </c>
      <c r="L10" t="s">
        <v>14</v>
      </c>
      <c r="M10" t="s">
        <v>15</v>
      </c>
    </row>
    <row r="11" spans="1:13" x14ac:dyDescent="0.3">
      <c r="A11" t="s">
        <v>46</v>
      </c>
      <c r="B11">
        <v>2000</v>
      </c>
      <c r="C11">
        <v>2000</v>
      </c>
      <c r="D11">
        <v>2000</v>
      </c>
    </row>
    <row r="12" spans="1:13" x14ac:dyDescent="0.3">
      <c r="A12" t="s">
        <v>47</v>
      </c>
      <c r="B12" s="21">
        <f>Table4[[#Totals],[JAN]]</f>
        <v>2000</v>
      </c>
      <c r="C12" s="21">
        <f>Table4[[#Totals],[FEB]]</f>
        <v>5500</v>
      </c>
      <c r="D12" s="21">
        <f>Table4[[#Totals],[MAR]]</f>
        <v>1200</v>
      </c>
      <c r="E12" s="21">
        <f>Table3[[#Totals],[APR]]</f>
        <v>0</v>
      </c>
      <c r="F12" s="21">
        <f>Table3[[#Totals],[MAY]]</f>
        <v>0</v>
      </c>
      <c r="G12" s="21">
        <f>Table3[[#Totals],[JUN]]</f>
        <v>0</v>
      </c>
      <c r="H12" s="21">
        <f>Table3[[#Totals],[JUL]]</f>
        <v>0</v>
      </c>
      <c r="I12" s="21">
        <f>Table3[[#Totals],[AUG]]</f>
        <v>0</v>
      </c>
      <c r="J12" s="21">
        <f>Table3[[#Totals],[SEP]]</f>
        <v>0</v>
      </c>
      <c r="K12" s="21">
        <f>Table3[[#Totals],[OCT]]</f>
        <v>0</v>
      </c>
      <c r="L12" s="21">
        <f>Table3[[#Totals],[NOV]]</f>
        <v>0</v>
      </c>
      <c r="M12" s="21">
        <f>Table3[[#Totals],[DEC]]</f>
        <v>0</v>
      </c>
    </row>
    <row r="13" spans="1:13" x14ac:dyDescent="0.3">
      <c r="A13" t="s">
        <v>49</v>
      </c>
      <c r="B13" s="21">
        <f>B11-B12</f>
        <v>0</v>
      </c>
      <c r="C13" s="21">
        <f t="shared" ref="C13" si="1">C11-C12</f>
        <v>-3500</v>
      </c>
      <c r="D13" s="21">
        <f t="shared" ref="D13" si="2">D11-D12</f>
        <v>800</v>
      </c>
      <c r="E13" s="21">
        <f t="shared" ref="E13" si="3">E11-E12</f>
        <v>0</v>
      </c>
      <c r="F13" s="21">
        <f t="shared" ref="F13" si="4">F11-F12</f>
        <v>0</v>
      </c>
      <c r="G13" s="21">
        <f t="shared" ref="G13" si="5">G11-G12</f>
        <v>0</v>
      </c>
      <c r="H13" s="21">
        <f t="shared" ref="H13" si="6">H11-H12</f>
        <v>0</v>
      </c>
      <c r="I13" s="21">
        <f t="shared" ref="I13" si="7">I11-I12</f>
        <v>0</v>
      </c>
      <c r="J13" s="21">
        <f t="shared" ref="J13" si="8">J11-J12</f>
        <v>0</v>
      </c>
      <c r="K13" s="21">
        <f t="shared" ref="K13" si="9">K11-K12</f>
        <v>0</v>
      </c>
      <c r="L13" s="21">
        <f t="shared" ref="L13" si="10">L11-L12</f>
        <v>0</v>
      </c>
      <c r="M13" s="21">
        <f t="shared" ref="M13" si="11">M11-M12</f>
        <v>0</v>
      </c>
    </row>
    <row r="14" spans="1:13" x14ac:dyDescent="0.3">
      <c r="A14" t="s">
        <v>48</v>
      </c>
      <c r="B14" s="22" t="str">
        <f>IF(B13&gt;0,"Under Budget",IF(B13&lt;0,"Over Budget","On Target"))</f>
        <v>On Target</v>
      </c>
      <c r="C14" s="23" t="str">
        <f>IF(C13&gt;0,"Under Budget",IF(C13&lt;0,"Over Budget","On Target"))</f>
        <v>Over Budget</v>
      </c>
      <c r="D14" s="24" t="str">
        <f>IF(D13&gt;0,"Under Budget",IF(D13&lt;0,"Over Budget","On Target"))</f>
        <v>Under Budget</v>
      </c>
    </row>
    <row r="17" spans="1:13" x14ac:dyDescent="0.3">
      <c r="A17" t="s">
        <v>36</v>
      </c>
      <c r="B17" t="s">
        <v>4</v>
      </c>
      <c r="C17" t="s">
        <v>5</v>
      </c>
      <c r="D17" t="s">
        <v>6</v>
      </c>
      <c r="E17" t="s">
        <v>7</v>
      </c>
      <c r="F17" t="s">
        <v>8</v>
      </c>
      <c r="G17" t="s">
        <v>9</v>
      </c>
      <c r="H17" t="s">
        <v>10</v>
      </c>
      <c r="I17" t="s">
        <v>11</v>
      </c>
      <c r="J17" t="s">
        <v>12</v>
      </c>
      <c r="K17" t="s">
        <v>13</v>
      </c>
      <c r="L17" t="s">
        <v>14</v>
      </c>
      <c r="M17" t="s">
        <v>15</v>
      </c>
    </row>
    <row r="18" spans="1:13" x14ac:dyDescent="0.3">
      <c r="A18" t="s">
        <v>46</v>
      </c>
      <c r="B18">
        <v>15000</v>
      </c>
      <c r="C18">
        <v>15000</v>
      </c>
      <c r="D18">
        <v>15000</v>
      </c>
    </row>
    <row r="19" spans="1:13" x14ac:dyDescent="0.3">
      <c r="A19" t="s">
        <v>47</v>
      </c>
      <c r="B19" s="21">
        <f>Table5[[#Totals],[JAN]]</f>
        <v>18800</v>
      </c>
      <c r="C19" s="21">
        <f>Table5[[#Totals],[FEB]]</f>
        <v>15000</v>
      </c>
      <c r="D19" s="21">
        <f>Table5[[#Totals],[MAR]]</f>
        <v>10000</v>
      </c>
      <c r="E19" s="21">
        <f>Table3[[#Totals],[APR]]</f>
        <v>0</v>
      </c>
      <c r="F19" s="21">
        <f>Table3[[#Totals],[MAY]]</f>
        <v>0</v>
      </c>
      <c r="G19" s="21">
        <f>Table3[[#Totals],[JUN]]</f>
        <v>0</v>
      </c>
      <c r="H19" s="21">
        <f>Table3[[#Totals],[JUL]]</f>
        <v>0</v>
      </c>
      <c r="I19" s="21">
        <f>Table3[[#Totals],[AUG]]</f>
        <v>0</v>
      </c>
      <c r="J19" s="21">
        <f>Table3[[#Totals],[SEP]]</f>
        <v>0</v>
      </c>
      <c r="K19" s="21">
        <f>Table3[[#Totals],[OCT]]</f>
        <v>0</v>
      </c>
      <c r="L19" s="21">
        <f>Table3[[#Totals],[NOV]]</f>
        <v>0</v>
      </c>
      <c r="M19" s="21">
        <f>Table3[[#Totals],[DEC]]</f>
        <v>0</v>
      </c>
    </row>
    <row r="20" spans="1:13" x14ac:dyDescent="0.3">
      <c r="A20" t="s">
        <v>49</v>
      </c>
      <c r="B20" s="21">
        <f>B18-B19</f>
        <v>-3800</v>
      </c>
      <c r="C20" s="21">
        <f t="shared" ref="C20" si="12">C18-C19</f>
        <v>0</v>
      </c>
      <c r="D20" s="21">
        <f t="shared" ref="D20" si="13">D18-D19</f>
        <v>5000</v>
      </c>
      <c r="E20" s="21">
        <f t="shared" ref="E20" si="14">E18-E19</f>
        <v>0</v>
      </c>
      <c r="F20" s="21">
        <f t="shared" ref="F20" si="15">F18-F19</f>
        <v>0</v>
      </c>
      <c r="G20" s="21">
        <f t="shared" ref="G20" si="16">G18-G19</f>
        <v>0</v>
      </c>
      <c r="H20" s="21">
        <f t="shared" ref="H20" si="17">H18-H19</f>
        <v>0</v>
      </c>
      <c r="I20" s="21">
        <f t="shared" ref="I20" si="18">I18-I19</f>
        <v>0</v>
      </c>
      <c r="J20" s="21">
        <f t="shared" ref="J20" si="19">J18-J19</f>
        <v>0</v>
      </c>
      <c r="K20" s="21">
        <f t="shared" ref="K20" si="20">K18-K19</f>
        <v>0</v>
      </c>
      <c r="L20" s="21">
        <f t="shared" ref="L20" si="21">L18-L19</f>
        <v>0</v>
      </c>
      <c r="M20" s="21">
        <f t="shared" ref="M20" si="22">M18-M19</f>
        <v>0</v>
      </c>
    </row>
    <row r="21" spans="1:13" x14ac:dyDescent="0.3">
      <c r="A21" t="s">
        <v>48</v>
      </c>
      <c r="B21" s="23" t="str">
        <f>IF(B20&gt;0,"Under Budget",IF(B20&lt;0,"Over Budget","On Target"))</f>
        <v>Over Budget</v>
      </c>
      <c r="C21" s="22" t="str">
        <f>IF(C20&gt;0,"Under Budget",IF(C20&lt;0,"Over Budget","On Target"))</f>
        <v>On Target</v>
      </c>
      <c r="D21" s="24" t="str">
        <f>IF(D20&gt;0,"Under Budget",IF(D20&lt;0,"Over Budget","On Target"))</f>
        <v>Under Budget</v>
      </c>
    </row>
    <row r="24" spans="1:13" x14ac:dyDescent="0.3">
      <c r="A24" t="s">
        <v>41</v>
      </c>
      <c r="B24" t="s">
        <v>4</v>
      </c>
      <c r="C24" t="s">
        <v>5</v>
      </c>
      <c r="D24" t="s">
        <v>6</v>
      </c>
      <c r="E24" t="s">
        <v>7</v>
      </c>
      <c r="F24" t="s">
        <v>8</v>
      </c>
      <c r="G24" t="s">
        <v>9</v>
      </c>
      <c r="H24" t="s">
        <v>10</v>
      </c>
      <c r="I24" t="s">
        <v>11</v>
      </c>
      <c r="J24" t="s">
        <v>12</v>
      </c>
      <c r="K24" t="s">
        <v>13</v>
      </c>
      <c r="L24" t="s">
        <v>14</v>
      </c>
      <c r="M24" t="s">
        <v>15</v>
      </c>
    </row>
    <row r="25" spans="1:13" x14ac:dyDescent="0.3">
      <c r="A25" t="s">
        <v>46</v>
      </c>
      <c r="B25">
        <v>6500</v>
      </c>
      <c r="C25">
        <v>6500</v>
      </c>
      <c r="D25">
        <v>6500</v>
      </c>
    </row>
    <row r="26" spans="1:13" x14ac:dyDescent="0.3">
      <c r="A26" t="s">
        <v>47</v>
      </c>
      <c r="B26" s="21">
        <f>Table8[[#Totals],[JAN]]</f>
        <v>6500</v>
      </c>
      <c r="C26" s="21">
        <f>Table8[[#Totals],[FEB]]</f>
        <v>56500</v>
      </c>
      <c r="D26" s="21">
        <f>Table8[[#Totals],[MAR]]</f>
        <v>2200</v>
      </c>
      <c r="E26" s="21">
        <f>Table3[[#Totals],[APR]]</f>
        <v>0</v>
      </c>
      <c r="F26" s="21">
        <f>Table3[[#Totals],[MAY]]</f>
        <v>0</v>
      </c>
      <c r="G26" s="21">
        <f>Table3[[#Totals],[JUN]]</f>
        <v>0</v>
      </c>
      <c r="H26" s="21">
        <f>Table3[[#Totals],[JUL]]</f>
        <v>0</v>
      </c>
      <c r="I26" s="21">
        <f>Table3[[#Totals],[AUG]]</f>
        <v>0</v>
      </c>
      <c r="J26" s="21">
        <f>Table3[[#Totals],[SEP]]</f>
        <v>0</v>
      </c>
      <c r="K26" s="21">
        <f>Table3[[#Totals],[OCT]]</f>
        <v>0</v>
      </c>
      <c r="L26" s="21">
        <f>Table3[[#Totals],[NOV]]</f>
        <v>0</v>
      </c>
      <c r="M26" s="21">
        <f>Table3[[#Totals],[DEC]]</f>
        <v>0</v>
      </c>
    </row>
    <row r="27" spans="1:13" x14ac:dyDescent="0.3">
      <c r="A27" t="s">
        <v>49</v>
      </c>
      <c r="B27" s="21">
        <f>B25-B26</f>
        <v>0</v>
      </c>
      <c r="C27" s="21">
        <f t="shared" ref="C27:D27" si="23">C25-C26</f>
        <v>-50000</v>
      </c>
      <c r="D27" s="21">
        <f t="shared" si="23"/>
        <v>4300</v>
      </c>
      <c r="E27" s="21">
        <f t="shared" ref="E27" si="24">E25-E26</f>
        <v>0</v>
      </c>
      <c r="F27" s="21">
        <f t="shared" ref="F27" si="25">F25-F26</f>
        <v>0</v>
      </c>
      <c r="G27" s="21">
        <f t="shared" ref="G27" si="26">G25-G26</f>
        <v>0</v>
      </c>
      <c r="H27" s="21">
        <f t="shared" ref="H27" si="27">H25-H26</f>
        <v>0</v>
      </c>
      <c r="I27" s="21">
        <f t="shared" ref="I27" si="28">I25-I26</f>
        <v>0</v>
      </c>
      <c r="J27" s="21">
        <f t="shared" ref="J27" si="29">J25-J26</f>
        <v>0</v>
      </c>
      <c r="K27" s="21">
        <f t="shared" ref="K27" si="30">K25-K26</f>
        <v>0</v>
      </c>
      <c r="L27" s="21">
        <f t="shared" ref="L27" si="31">L25-L26</f>
        <v>0</v>
      </c>
      <c r="M27" s="21">
        <f t="shared" ref="M27" si="32">M25-M26</f>
        <v>0</v>
      </c>
    </row>
    <row r="28" spans="1:13" x14ac:dyDescent="0.3">
      <c r="A28" t="s">
        <v>48</v>
      </c>
      <c r="B28" s="22" t="str">
        <f>IF(B27&gt;0,"Under Budget",IF(B27&lt;0,"Over Budget","On Target"))</f>
        <v>On Target</v>
      </c>
      <c r="C28" s="23" t="str">
        <f>IF(C27&gt;0,"Under Budget",IF(C27&lt;0,"Over Budget","On Target"))</f>
        <v>Over Budget</v>
      </c>
      <c r="D28" s="24" t="str">
        <f>IF(D27&gt;0,"Under Budget",IF(D27&lt;0,"Over Budget","On Target"))</f>
        <v>Under Budget</v>
      </c>
    </row>
  </sheetData>
  <conditionalFormatting sqref="B6">
    <cfRule type="expression" dxfId="5" priority="6">
      <formula>$B5="Under Budget"</formula>
    </cfRule>
  </conditionalFormatting>
  <conditionalFormatting sqref="B13">
    <cfRule type="expression" dxfId="4" priority="5">
      <formula>$B12="Under Budget"</formula>
    </cfRule>
  </conditionalFormatting>
  <conditionalFormatting sqref="B20">
    <cfRule type="expression" dxfId="3" priority="4">
      <formula>$B19="Under Budget"</formula>
    </cfRule>
  </conditionalFormatting>
  <conditionalFormatting sqref="B21">
    <cfRule type="expression" dxfId="2" priority="3">
      <formula>B7="Under Budget"</formula>
    </cfRule>
  </conditionalFormatting>
  <conditionalFormatting sqref="B28">
    <cfRule type="expression" dxfId="1" priority="1">
      <formula>B14="Under Budget"</formula>
    </cfRule>
  </conditionalFormatting>
  <conditionalFormatting sqref="B27:D27">
    <cfRule type="expression" dxfId="0" priority="2">
      <formula>$B26="Under Budget"</formula>
    </cfRule>
  </conditionalFormatting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BA370-51B0-43FF-AB4D-AA1E0E261FDC}">
  <dimension ref="A1:D71"/>
  <sheetViews>
    <sheetView topLeftCell="A36" workbookViewId="0">
      <selection activeCell="M63" sqref="M63"/>
    </sheetView>
  </sheetViews>
  <sheetFormatPr defaultRowHeight="14.4" x14ac:dyDescent="0.3"/>
  <cols>
    <col min="1" max="1" width="19.21875" bestFit="1" customWidth="1"/>
    <col min="2" max="2" width="10.6640625" bestFit="1" customWidth="1"/>
    <col min="3" max="3" width="10.44140625" bestFit="1" customWidth="1"/>
    <col min="4" max="4" width="11.5546875" bestFit="1" customWidth="1"/>
  </cols>
  <sheetData>
    <row r="1" spans="1:4" x14ac:dyDescent="0.3">
      <c r="A1" s="25" t="s">
        <v>53</v>
      </c>
      <c r="B1" t="s">
        <v>50</v>
      </c>
      <c r="C1" t="s">
        <v>51</v>
      </c>
      <c r="D1" t="s">
        <v>52</v>
      </c>
    </row>
    <row r="2" spans="1:4" x14ac:dyDescent="0.3">
      <c r="A2" s="26" t="s">
        <v>25</v>
      </c>
      <c r="B2" s="21">
        <v>500</v>
      </c>
      <c r="C2" s="21">
        <v>600</v>
      </c>
      <c r="D2" s="21">
        <v>900</v>
      </c>
    </row>
    <row r="3" spans="1:4" x14ac:dyDescent="0.3">
      <c r="A3" s="26" t="s">
        <v>26</v>
      </c>
      <c r="B3" s="21">
        <v>900</v>
      </c>
      <c r="C3" s="21">
        <v>900</v>
      </c>
      <c r="D3" s="21">
        <v>900</v>
      </c>
    </row>
    <row r="4" spans="1:4" x14ac:dyDescent="0.3">
      <c r="A4" s="26" t="s">
        <v>2</v>
      </c>
      <c r="B4" s="21">
        <v>6500</v>
      </c>
      <c r="C4" s="21">
        <v>7500</v>
      </c>
      <c r="D4" s="21">
        <v>3000</v>
      </c>
    </row>
    <row r="5" spans="1:4" x14ac:dyDescent="0.3">
      <c r="A5" s="26" t="s">
        <v>32</v>
      </c>
      <c r="B5" s="21">
        <v>700</v>
      </c>
      <c r="C5" s="21">
        <v>300</v>
      </c>
      <c r="D5" s="21">
        <v>0</v>
      </c>
    </row>
    <row r="6" spans="1:4" x14ac:dyDescent="0.3">
      <c r="A6" s="26" t="s">
        <v>29</v>
      </c>
      <c r="B6" s="21">
        <v>999</v>
      </c>
      <c r="C6" s="21">
        <v>999</v>
      </c>
      <c r="D6" s="21">
        <v>999</v>
      </c>
    </row>
    <row r="7" spans="1:4" x14ac:dyDescent="0.3">
      <c r="A7" s="26" t="s">
        <v>30</v>
      </c>
      <c r="B7" s="21">
        <v>500</v>
      </c>
      <c r="C7" s="21">
        <v>0</v>
      </c>
      <c r="D7" s="21">
        <v>200</v>
      </c>
    </row>
    <row r="8" spans="1:4" x14ac:dyDescent="0.3">
      <c r="A8" s="26" t="s">
        <v>31</v>
      </c>
      <c r="B8" s="21">
        <v>850</v>
      </c>
      <c r="C8" s="21">
        <v>0</v>
      </c>
      <c r="D8" s="21">
        <v>100</v>
      </c>
    </row>
    <row r="9" spans="1:4" x14ac:dyDescent="0.3">
      <c r="A9" s="26" t="s">
        <v>3</v>
      </c>
      <c r="B9" s="21">
        <v>2000</v>
      </c>
      <c r="C9" s="21">
        <v>1000</v>
      </c>
      <c r="D9" s="21">
        <v>500</v>
      </c>
    </row>
    <row r="10" spans="1:4" x14ac:dyDescent="0.3">
      <c r="A10" s="26" t="s">
        <v>28</v>
      </c>
      <c r="B10" s="21">
        <v>1000</v>
      </c>
      <c r="C10" s="21">
        <v>1000</v>
      </c>
      <c r="D10" s="21">
        <v>999</v>
      </c>
    </row>
    <row r="11" spans="1:4" x14ac:dyDescent="0.3">
      <c r="A11" s="26" t="s">
        <v>27</v>
      </c>
      <c r="B11" s="21">
        <v>300</v>
      </c>
      <c r="C11" s="21">
        <v>300</v>
      </c>
      <c r="D11" s="21">
        <v>300</v>
      </c>
    </row>
    <row r="12" spans="1:4" x14ac:dyDescent="0.3">
      <c r="A12" s="26" t="s">
        <v>54</v>
      </c>
      <c r="B12" s="21">
        <v>14249</v>
      </c>
      <c r="C12" s="21">
        <v>12599</v>
      </c>
      <c r="D12" s="21">
        <v>7898</v>
      </c>
    </row>
    <row r="31" spans="1:4" x14ac:dyDescent="0.3">
      <c r="A31" s="25" t="s">
        <v>53</v>
      </c>
      <c r="B31" t="s">
        <v>50</v>
      </c>
      <c r="C31" t="s">
        <v>51</v>
      </c>
      <c r="D31" t="s">
        <v>52</v>
      </c>
    </row>
    <row r="32" spans="1:4" x14ac:dyDescent="0.3">
      <c r="A32" s="26" t="s">
        <v>35</v>
      </c>
      <c r="B32" s="21">
        <v>1000</v>
      </c>
      <c r="C32" s="21">
        <v>500</v>
      </c>
      <c r="D32" s="21">
        <v>200</v>
      </c>
    </row>
    <row r="33" spans="1:4" x14ac:dyDescent="0.3">
      <c r="A33" s="26" t="s">
        <v>34</v>
      </c>
      <c r="B33" s="21">
        <v>1000</v>
      </c>
      <c r="C33" s="21">
        <v>5000</v>
      </c>
      <c r="D33" s="21">
        <v>1000</v>
      </c>
    </row>
    <row r="34" spans="1:4" x14ac:dyDescent="0.3">
      <c r="A34" s="26" t="s">
        <v>54</v>
      </c>
      <c r="B34" s="21">
        <v>2000</v>
      </c>
      <c r="C34" s="21">
        <v>5500</v>
      </c>
      <c r="D34" s="21">
        <v>1200</v>
      </c>
    </row>
    <row r="51" spans="1:4" x14ac:dyDescent="0.3">
      <c r="A51" s="25" t="s">
        <v>53</v>
      </c>
      <c r="B51" t="s">
        <v>50</v>
      </c>
      <c r="C51" t="s">
        <v>51</v>
      </c>
      <c r="D51" t="s">
        <v>52</v>
      </c>
    </row>
    <row r="52" spans="1:4" x14ac:dyDescent="0.3">
      <c r="A52" s="26" t="s">
        <v>38</v>
      </c>
      <c r="B52" s="21">
        <v>600</v>
      </c>
      <c r="C52" s="21">
        <v>0</v>
      </c>
      <c r="D52" s="21">
        <v>0</v>
      </c>
    </row>
    <row r="53" spans="1:4" x14ac:dyDescent="0.3">
      <c r="A53" s="26" t="s">
        <v>37</v>
      </c>
      <c r="B53" s="21">
        <v>8000</v>
      </c>
      <c r="C53" s="21">
        <v>5000</v>
      </c>
      <c r="D53" s="21">
        <v>5000</v>
      </c>
    </row>
    <row r="54" spans="1:4" x14ac:dyDescent="0.3">
      <c r="A54" s="26" t="s">
        <v>40</v>
      </c>
      <c r="B54" s="21">
        <v>10000</v>
      </c>
      <c r="C54" s="21">
        <v>10000</v>
      </c>
      <c r="D54" s="21">
        <v>5000</v>
      </c>
    </row>
    <row r="55" spans="1:4" x14ac:dyDescent="0.3">
      <c r="A55" s="26" t="s">
        <v>39</v>
      </c>
      <c r="B55" s="21">
        <v>200</v>
      </c>
      <c r="C55" s="21">
        <v>0</v>
      </c>
      <c r="D55" s="21">
        <v>0</v>
      </c>
    </row>
    <row r="56" spans="1:4" x14ac:dyDescent="0.3">
      <c r="A56" s="26" t="s">
        <v>54</v>
      </c>
      <c r="B56" s="21">
        <v>18800</v>
      </c>
      <c r="C56" s="21">
        <v>15000</v>
      </c>
      <c r="D56" s="21">
        <v>10000</v>
      </c>
    </row>
    <row r="67" spans="1:4" x14ac:dyDescent="0.3">
      <c r="A67" s="25" t="s">
        <v>53</v>
      </c>
      <c r="B67" t="s">
        <v>50</v>
      </c>
      <c r="C67" t="s">
        <v>51</v>
      </c>
      <c r="D67" t="s">
        <v>52</v>
      </c>
    </row>
    <row r="68" spans="1:4" x14ac:dyDescent="0.3">
      <c r="A68" s="26" t="s">
        <v>42</v>
      </c>
      <c r="B68" s="21">
        <v>500</v>
      </c>
      <c r="C68" s="21">
        <v>1000</v>
      </c>
      <c r="D68" s="21">
        <v>0</v>
      </c>
    </row>
    <row r="69" spans="1:4" x14ac:dyDescent="0.3">
      <c r="A69" s="26" t="s">
        <v>43</v>
      </c>
      <c r="B69" s="21">
        <v>1000</v>
      </c>
      <c r="C69" s="21">
        <v>500</v>
      </c>
      <c r="D69" s="21">
        <v>200</v>
      </c>
    </row>
    <row r="70" spans="1:4" x14ac:dyDescent="0.3">
      <c r="A70" s="26" t="s">
        <v>44</v>
      </c>
      <c r="B70" s="21">
        <v>5000</v>
      </c>
      <c r="C70" s="21">
        <v>55000</v>
      </c>
      <c r="D70" s="21">
        <v>2000</v>
      </c>
    </row>
    <row r="71" spans="1:4" x14ac:dyDescent="0.3">
      <c r="A71" s="26" t="s">
        <v>54</v>
      </c>
      <c r="B71" s="21">
        <v>6500</v>
      </c>
      <c r="C71" s="21">
        <v>56500</v>
      </c>
      <c r="D71" s="21">
        <v>2200</v>
      </c>
    </row>
  </sheetData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INCOME</vt:lpstr>
      <vt:lpstr>BUDGET VS ACTUAL TRACKER</vt:lpstr>
      <vt:lpstr>PIVOT CHART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Budget Worksheet</dc:title>
  <dc:creator>Vertex42.com</dc:creator>
  <dc:description>(c) 2013-2022 Vertex42 LLC. All Rights Reserved.</dc:description>
  <cp:lastModifiedBy>PRAGNAY KOMAKULA</cp:lastModifiedBy>
  <cp:lastPrinted>2022-03-23T17:05:06Z</cp:lastPrinted>
  <dcterms:created xsi:type="dcterms:W3CDTF">2013-07-16T19:32:53Z</dcterms:created>
  <dcterms:modified xsi:type="dcterms:W3CDTF">2025-04-07T16:49:50Z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2013-2022 Vertex42 LLC</vt:lpwstr>
  </property>
  <property fmtid="{D5CDD505-2E9C-101B-9397-08002B2CF9AE}" pid="3" name="Version">
    <vt:lpwstr>1.2.0</vt:lpwstr>
  </property>
  <property fmtid="{D5CDD505-2E9C-101B-9397-08002B2CF9AE}" pid="4" name="Source">
    <vt:lpwstr>https://www.vertex42.com/ExcelTemplates/simple-budget-worksheet.html</vt:lpwstr>
  </property>
</Properties>
</file>