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kiko0\Downloads\"/>
    </mc:Choice>
  </mc:AlternateContent>
  <xr:revisionPtr revIDLastSave="0" documentId="13_ncr:1_{190FB6F9-ED4A-4D08-8EBB-6731D3829BAD}" xr6:coauthVersionLast="47" xr6:coauthVersionMax="47" xr10:uidLastSave="{00000000-0000-0000-0000-000000000000}"/>
  <bookViews>
    <workbookView xWindow="-120" yWindow="-120" windowWidth="29040" windowHeight="16440" activeTab="2" xr2:uid="{F0184BB9-CBF4-4250-BAF9-C9238DC1B543}"/>
  </bookViews>
  <sheets>
    <sheet name="DISCLAIMER" sheetId="46" r:id="rId1"/>
    <sheet name="TASK" sheetId="49" r:id="rId2"/>
    <sheet name="CFs" sheetId="50" r:id="rId3"/>
  </sheets>
  <definedNames>
    <definedName name="Growth" localSheetId="0">#REF!</definedName>
    <definedName name="Growth">#REF!</definedName>
    <definedName name="_xlnm.Print_Area" localSheetId="2">CFs!$B$4:$P$70</definedName>
    <definedName name="_xlnm.Print_Area" localSheetId="0">DISCLAIMER!$B$3:$N$28</definedName>
    <definedName name="_xlnm.Print_Area" localSheetId="1">TASK!$B$2:$V$34</definedName>
  </definedNames>
  <calcPr calcId="191029" calcMode="autoNoTable"/>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64" i="50" l="1"/>
  <c r="E61" i="50"/>
  <c r="F61" i="50"/>
  <c r="G61" i="50"/>
  <c r="H61" i="50"/>
  <c r="I61" i="50"/>
  <c r="J61" i="50"/>
  <c r="K61" i="50"/>
  <c r="L61" i="50"/>
  <c r="M61" i="50"/>
  <c r="N61" i="50"/>
  <c r="D77" i="50"/>
  <c r="D44" i="50"/>
  <c r="O44" i="50" s="1"/>
  <c r="D42" i="50"/>
  <c r="D58" i="50" s="1"/>
  <c r="O58" i="50" s="1"/>
  <c r="D34" i="50"/>
  <c r="E34" i="50" s="1"/>
  <c r="F34" i="50" s="1"/>
  <c r="G34" i="50" s="1"/>
  <c r="H34" i="50" s="1"/>
  <c r="I34" i="50" s="1"/>
  <c r="J34" i="50" s="1"/>
  <c r="K34" i="50" s="1"/>
  <c r="L34" i="50" s="1"/>
  <c r="M34" i="50" s="1"/>
  <c r="N34" i="50" s="1"/>
  <c r="D32" i="50"/>
  <c r="D31" i="50"/>
  <c r="E31" i="50" s="1"/>
  <c r="F31" i="50" s="1"/>
  <c r="G31" i="50" s="1"/>
  <c r="H31" i="50" s="1"/>
  <c r="I31" i="50" s="1"/>
  <c r="J31" i="50" s="1"/>
  <c r="K31" i="50" s="1"/>
  <c r="L31" i="50" s="1"/>
  <c r="M31" i="50" s="1"/>
  <c r="N31" i="50" s="1"/>
  <c r="E2" i="50"/>
  <c r="F2" i="50" s="1"/>
  <c r="G2" i="50" s="1"/>
  <c r="H2" i="50" s="1"/>
  <c r="I2" i="50" s="1"/>
  <c r="J2" i="50" s="1"/>
  <c r="K2" i="50" s="1"/>
  <c r="L2" i="50" s="1"/>
  <c r="M2" i="50" s="1"/>
  <c r="N2" i="50" s="1"/>
  <c r="D30" i="50"/>
  <c r="E30" i="50" s="1"/>
  <c r="F30" i="50" s="1"/>
  <c r="G30" i="50" s="1"/>
  <c r="H30" i="50" s="1"/>
  <c r="I30" i="50" s="1"/>
  <c r="J30" i="50" s="1"/>
  <c r="K30" i="50" s="1"/>
  <c r="L30" i="50" s="1"/>
  <c r="M30" i="50" s="1"/>
  <c r="N30" i="50" s="1"/>
  <c r="D33" i="50" l="1"/>
  <c r="D36" i="50" s="1"/>
  <c r="M48" i="50"/>
  <c r="M49" i="50" s="1"/>
  <c r="O34" i="50"/>
  <c r="O42" i="50"/>
  <c r="E63" i="50"/>
  <c r="J63" i="50"/>
  <c r="H63" i="50"/>
  <c r="G63" i="50"/>
  <c r="F63" i="50"/>
  <c r="E48" i="50"/>
  <c r="H48" i="50"/>
  <c r="F77" i="50"/>
  <c r="D43" i="50"/>
  <c r="D50" i="50" s="1"/>
  <c r="G48" i="50"/>
  <c r="F48" i="50"/>
  <c r="G77" i="50"/>
  <c r="H77" i="50"/>
  <c r="J77" i="50"/>
  <c r="J48" i="50"/>
  <c r="D41" i="50"/>
  <c r="E77" i="50"/>
  <c r="E32" i="50"/>
  <c r="O43" i="50" l="1"/>
  <c r="D35" i="50"/>
  <c r="D37" i="50" s="1"/>
  <c r="G49" i="50"/>
  <c r="G64" i="50" s="1"/>
  <c r="H49" i="50"/>
  <c r="H64" i="50" s="1"/>
  <c r="E49" i="50"/>
  <c r="J49" i="50"/>
  <c r="J64" i="50" s="1"/>
  <c r="F49" i="50"/>
  <c r="F64" i="50" s="1"/>
  <c r="D74" i="50"/>
  <c r="D59" i="50"/>
  <c r="O59" i="50" s="1"/>
  <c r="E41" i="50"/>
  <c r="F41" i="50" s="1"/>
  <c r="G41" i="50" s="1"/>
  <c r="H41" i="50" s="1"/>
  <c r="I41" i="50" s="1"/>
  <c r="J41" i="50" s="1"/>
  <c r="K41" i="50" s="1"/>
  <c r="L41" i="50" s="1"/>
  <c r="M41" i="50" s="1"/>
  <c r="N41" i="50" s="1"/>
  <c r="D57" i="50"/>
  <c r="E57" i="50" s="1"/>
  <c r="F57" i="50" s="1"/>
  <c r="G57" i="50" s="1"/>
  <c r="H57" i="50" s="1"/>
  <c r="I57" i="50" s="1"/>
  <c r="J57" i="50" s="1"/>
  <c r="K57" i="50" s="1"/>
  <c r="L57" i="50" s="1"/>
  <c r="M57" i="50" s="1"/>
  <c r="N57" i="50" s="1"/>
  <c r="F32" i="50"/>
  <c r="E33" i="50"/>
  <c r="E64" i="50" l="1"/>
  <c r="D75" i="50"/>
  <c r="D61" i="50"/>
  <c r="E35" i="50"/>
  <c r="E45" i="50" s="1"/>
  <c r="E36" i="50"/>
  <c r="G32" i="50"/>
  <c r="F33" i="50"/>
  <c r="D78" i="50" l="1"/>
  <c r="E75" i="50" s="1"/>
  <c r="E46" i="50"/>
  <c r="E47" i="50" s="1"/>
  <c r="E50" i="50" s="1"/>
  <c r="D65" i="50"/>
  <c r="O61" i="50"/>
  <c r="F35" i="50"/>
  <c r="F45" i="50" s="1"/>
  <c r="F36" i="50"/>
  <c r="F46" i="50" s="1"/>
  <c r="H32" i="50"/>
  <c r="G33" i="50"/>
  <c r="E37" i="50"/>
  <c r="E76" i="50" l="1"/>
  <c r="E62" i="50" s="1"/>
  <c r="E78" i="50"/>
  <c r="F75" i="50" s="1"/>
  <c r="F76" i="50" s="1"/>
  <c r="F62" i="50" s="1"/>
  <c r="E60" i="50"/>
  <c r="F47" i="50"/>
  <c r="G35" i="50"/>
  <c r="G45" i="50" s="1"/>
  <c r="G36" i="50"/>
  <c r="G46" i="50" s="1"/>
  <c r="I32" i="50"/>
  <c r="H33" i="50"/>
  <c r="F37" i="50"/>
  <c r="F78" i="50" l="1"/>
  <c r="G75" i="50" s="1"/>
  <c r="G76" i="50" s="1"/>
  <c r="G62" i="50" s="1"/>
  <c r="E65" i="50"/>
  <c r="F50" i="50"/>
  <c r="F60" i="50"/>
  <c r="F65" i="50" s="1"/>
  <c r="G47" i="50"/>
  <c r="H35" i="50"/>
  <c r="H45" i="50" s="1"/>
  <c r="H36" i="50"/>
  <c r="H46" i="50" s="1"/>
  <c r="J32" i="50"/>
  <c r="I33" i="50"/>
  <c r="G37" i="50"/>
  <c r="G78" i="50" l="1"/>
  <c r="H75" i="50" s="1"/>
  <c r="H78" i="50" s="1"/>
  <c r="I75" i="50" s="1"/>
  <c r="G50" i="50"/>
  <c r="G60" i="50"/>
  <c r="G65" i="50" s="1"/>
  <c r="H47" i="50"/>
  <c r="K32" i="50"/>
  <c r="J33" i="50"/>
  <c r="I35" i="50"/>
  <c r="I45" i="50" s="1"/>
  <c r="I36" i="50"/>
  <c r="I46" i="50" s="1"/>
  <c r="H37" i="50"/>
  <c r="H76" i="50" l="1"/>
  <c r="H62" i="50" s="1"/>
  <c r="I77" i="50"/>
  <c r="I63" i="50" s="1"/>
  <c r="I76" i="50"/>
  <c r="I62" i="50" s="1"/>
  <c r="H50" i="50"/>
  <c r="H60" i="50"/>
  <c r="I47" i="50"/>
  <c r="I60" i="50" s="1"/>
  <c r="I48" i="50"/>
  <c r="I37" i="50"/>
  <c r="J35" i="50"/>
  <c r="J45" i="50" s="1"/>
  <c r="J36" i="50"/>
  <c r="J46" i="50" s="1"/>
  <c r="L32" i="50"/>
  <c r="K33" i="50"/>
  <c r="H65" i="50" l="1"/>
  <c r="I78" i="50"/>
  <c r="J75" i="50" s="1"/>
  <c r="J78" i="50" s="1"/>
  <c r="K75" i="50" s="1"/>
  <c r="K77" i="50" s="1"/>
  <c r="K63" i="50" s="1"/>
  <c r="I49" i="50"/>
  <c r="J47" i="50"/>
  <c r="I50" i="50"/>
  <c r="K35" i="50"/>
  <c r="K45" i="50" s="1"/>
  <c r="K48" i="50" s="1"/>
  <c r="K49" i="50" s="1"/>
  <c r="K64" i="50" s="1"/>
  <c r="K36" i="50"/>
  <c r="K46" i="50" s="1"/>
  <c r="M32" i="50"/>
  <c r="L33" i="50"/>
  <c r="J37" i="50"/>
  <c r="I64" i="50" l="1"/>
  <c r="J76" i="50"/>
  <c r="J62" i="50" s="1"/>
  <c r="K76" i="50"/>
  <c r="K62" i="50" s="1"/>
  <c r="K78" i="50"/>
  <c r="L75" i="50" s="1"/>
  <c r="L77" i="50" s="1"/>
  <c r="L63" i="50" s="1"/>
  <c r="J50" i="50"/>
  <c r="J60" i="50"/>
  <c r="K47" i="50"/>
  <c r="L35" i="50"/>
  <c r="L45" i="50" s="1"/>
  <c r="L48" i="50" s="1"/>
  <c r="L49" i="50" s="1"/>
  <c r="L64" i="50" s="1"/>
  <c r="L36" i="50"/>
  <c r="L46" i="50" s="1"/>
  <c r="N32" i="50"/>
  <c r="N33" i="50" s="1"/>
  <c r="M33" i="50"/>
  <c r="K37" i="50"/>
  <c r="O33" i="50" l="1"/>
  <c r="O35" i="50" s="1"/>
  <c r="J65" i="50"/>
  <c r="I65" i="50"/>
  <c r="L76" i="50"/>
  <c r="L62" i="50" s="1"/>
  <c r="L78" i="50"/>
  <c r="M75" i="50" s="1"/>
  <c r="M77" i="50" s="1"/>
  <c r="M63" i="50" s="1"/>
  <c r="K50" i="50"/>
  <c r="K60" i="50"/>
  <c r="K65" i="50" s="1"/>
  <c r="L47" i="50"/>
  <c r="M35" i="50"/>
  <c r="M45" i="50" s="1"/>
  <c r="M64" i="50" s="1"/>
  <c r="M36" i="50"/>
  <c r="M46" i="50" s="1"/>
  <c r="N36" i="50"/>
  <c r="N35" i="50"/>
  <c r="L37" i="50"/>
  <c r="N46" i="50" l="1"/>
  <c r="O46" i="50" s="1"/>
  <c r="O36" i="50"/>
  <c r="O37" i="50" s="1"/>
  <c r="M76" i="50"/>
  <c r="M62" i="50" s="1"/>
  <c r="M78" i="50"/>
  <c r="N75" i="50" s="1"/>
  <c r="N77" i="50" s="1"/>
  <c r="N63" i="50" s="1"/>
  <c r="O63" i="50" s="1"/>
  <c r="L50" i="50"/>
  <c r="L60" i="50"/>
  <c r="L65" i="50" s="1"/>
  <c r="N37" i="50"/>
  <c r="N45" i="50"/>
  <c r="N48" i="50" s="1"/>
  <c r="M47" i="50"/>
  <c r="M37" i="50"/>
  <c r="N49" i="50" l="1"/>
  <c r="O49" i="50" s="1"/>
  <c r="O48" i="50"/>
  <c r="N47" i="50"/>
  <c r="O47" i="50" s="1"/>
  <c r="O45" i="50"/>
  <c r="N78" i="50"/>
  <c r="N76" i="50"/>
  <c r="N62" i="50" s="1"/>
  <c r="O62" i="50" s="1"/>
  <c r="M50" i="50"/>
  <c r="M60" i="50"/>
  <c r="M65" i="50" s="1"/>
  <c r="N64" i="50" l="1"/>
  <c r="O64" i="50" s="1"/>
  <c r="N60" i="50"/>
  <c r="O60" i="50" s="1"/>
  <c r="N50" i="50"/>
  <c r="E53" i="50" l="1"/>
  <c r="E52" i="50"/>
  <c r="D53" i="50"/>
  <c r="O50" i="50"/>
  <c r="N65" i="50"/>
  <c r="O65" i="50" s="1"/>
  <c r="E68" i="50" l="1"/>
  <c r="D68" i="50"/>
  <c r="E67" i="50"/>
</calcChain>
</file>

<file path=xl/sharedStrings.xml><?xml version="1.0" encoding="utf-8"?>
<sst xmlns="http://schemas.openxmlformats.org/spreadsheetml/2006/main" count="98" uniqueCount="83">
  <si>
    <t>Assumptions</t>
  </si>
  <si>
    <r>
      <rPr>
        <u/>
        <sz val="11"/>
        <color theme="1"/>
        <rFont val="Calibri"/>
        <family val="2"/>
        <scheme val="minor"/>
      </rPr>
      <t>Legal Disclaimer:</t>
    </r>
    <r>
      <rPr>
        <sz val="11"/>
        <color theme="1"/>
        <rFont val="Calibri"/>
        <family val="2"/>
        <scheme val="minor"/>
      </rPr>
      <t xml:space="preserve">
You acknowledge that REIA owns all rights, title and interest in and to all REIA online course material, communication and sessions (“Content”) and you undertake not to share, sell, resell, copy, record, reproduce or distribute any of the Content in any form or by any means. 
This Content is only authorised to be used by the person who has registered to REIA online courses. You understand that any violation of these rules constitutes a crime, and that REIA will prosecute any user who is in breach of these rules and sue for damages. 
This case study is based on a real transaction. Nevertheless, there is no use of any third party confidential information and any and all use of copyright is lawful and constitutes fair dealing of any such material.
REIA makes reasonable efforts to ensure that the information provided is accurate but makes no representations or warranties to you of any kind, express or implied, and, in particular, does not guarantee, warrant or makes representation about its accuracy, adequacy, validity, completeness, reliability, availability, timeliness or suitability for any purpose. REIA is not responsible for any loss, damage or cost resulting from any reliance on the Content. 
All other information used in this case study, including but not limited to numerical data, financial metrics and information on the parties involved are fictional and are used for illustrative purposes to provide general guidelines on the matter for teaching purposes. </t>
    </r>
  </si>
  <si>
    <t>Tasks</t>
  </si>
  <si>
    <t xml:space="preserve">Financial Modelling Test </t>
  </si>
  <si>
    <t>You are an Analyst at Thanos Capital, a real estate private equity firm with a focus on value-add investments.</t>
  </si>
  <si>
    <t>Thanos' target returns are 20% IRR  / 2.0x EM</t>
  </si>
  <si>
    <t>Make sure that the model is fully flexible / dynamic and professionally formatted.</t>
  </si>
  <si>
    <t>- 100% equity funded by Thanos (no co-investment partner)</t>
  </si>
  <si>
    <t>- Assume for simplicity no income taxes, no CGT and no incentive structures (promote)</t>
  </si>
  <si>
    <t>Your boss has just called you up with an investment opportunity to acquire a large office asset on a single long lease.</t>
  </si>
  <si>
    <t xml:space="preserve">It is your job to analyse the opportunity and build a simple annual cash-flow model. </t>
  </si>
  <si>
    <t>He wants to have a quick 'back-of-the-envelope' financial analysis of this investment opportunity.</t>
  </si>
  <si>
    <t>If not, how much can Thanos pay?</t>
  </si>
  <si>
    <t>Purchase Price</t>
  </si>
  <si>
    <t>Project Back-of-the-Envelope</t>
  </si>
  <si>
    <t>ACQUISITION</t>
  </si>
  <si>
    <t>DD</t>
  </si>
  <si>
    <t>GENERAL</t>
  </si>
  <si>
    <t>Model Start</t>
  </si>
  <si>
    <t>RENTS</t>
  </si>
  <si>
    <t>Lease Length (yrs)</t>
  </si>
  <si>
    <t>FINANCING</t>
  </si>
  <si>
    <t>Interest</t>
  </si>
  <si>
    <t>EXIT</t>
  </si>
  <si>
    <t>Yield</t>
  </si>
  <si>
    <t xml:space="preserve">Exit Cost </t>
  </si>
  <si>
    <t>- Annual AM fee of 6.0% of rents</t>
  </si>
  <si>
    <t>- For simplicity assume no rent frees, no additional void period after completion of capex programme, no tenant Improvements / fit out costs, no fees (other than AM), no structure cost,</t>
  </si>
  <si>
    <t>OPEX &amp; FEES</t>
  </si>
  <si>
    <t>AM of rents</t>
  </si>
  <si>
    <t>Exit Year</t>
  </si>
  <si>
    <t>Occupancy</t>
  </si>
  <si>
    <t>Date</t>
  </si>
  <si>
    <t>YEAR</t>
  </si>
  <si>
    <t xml:space="preserve">Inflation </t>
  </si>
  <si>
    <t xml:space="preserve">Rental growth </t>
  </si>
  <si>
    <t xml:space="preserve">Occupancy </t>
  </si>
  <si>
    <t>Total Rents p.a.</t>
  </si>
  <si>
    <t>Opex</t>
  </si>
  <si>
    <t>NOI</t>
  </si>
  <si>
    <t>AM Fee</t>
  </si>
  <si>
    <t>Asset Cash-Flows</t>
  </si>
  <si>
    <t>RETT</t>
  </si>
  <si>
    <t>AM Fees</t>
  </si>
  <si>
    <t>Unlevered CFs</t>
  </si>
  <si>
    <t>IRR</t>
  </si>
  <si>
    <t>Profit / MOIC</t>
  </si>
  <si>
    <t>UNLEVERED CFs</t>
  </si>
  <si>
    <t>ASSET CFs</t>
  </si>
  <si>
    <t>LEVERED CFs</t>
  </si>
  <si>
    <t>DEBT REPAYMENT SCHEDULE</t>
  </si>
  <si>
    <t>Debt Drawdown</t>
  </si>
  <si>
    <t>BoP</t>
  </si>
  <si>
    <t>EoP</t>
  </si>
  <si>
    <t>Acquisition Costs</t>
  </si>
  <si>
    <t>Debt Repayment</t>
  </si>
  <si>
    <t>Exit Costs</t>
  </si>
  <si>
    <t>Net Sales Proceeds</t>
  </si>
  <si>
    <t>Levered CFs</t>
  </si>
  <si>
    <t>TOTAL</t>
  </si>
  <si>
    <t>n.a.</t>
  </si>
  <si>
    <t>- No capex or refurbishment programme</t>
  </si>
  <si>
    <t>DD (Due Diligence Cost)</t>
  </si>
  <si>
    <t>All Financials in Rs '000</t>
  </si>
  <si>
    <t>GLA (Gross Leasable area)</t>
  </si>
  <si>
    <t>LTC(Loan to Cost)</t>
  </si>
  <si>
    <t>Opex p.a. (by owner)</t>
  </si>
  <si>
    <t>Rents / sqf / m</t>
  </si>
  <si>
    <t>Rents / Sqf / m</t>
  </si>
  <si>
    <t>RETT % (RE Transaction Tax)</t>
  </si>
  <si>
    <t>Exit Valuation (Terminal Value)</t>
  </si>
  <si>
    <t>Principle Repayment</t>
  </si>
  <si>
    <t>The vendor is asking for a purchase price of Rs90 Billion</t>
  </si>
  <si>
    <t>- 8 year business plan with annual cash-flows</t>
  </si>
  <si>
    <t>- Model start date: December 2024</t>
  </si>
  <si>
    <t xml:space="preserve">- 2.7M sqf Meenakshi Towers building </t>
  </si>
  <si>
    <t>- Real estate transfer taxes of 6.0% and Rs 10M of additional transaction costs</t>
  </si>
  <si>
    <t>- Asset is currently let to single tenant on long 25-year lease. Annual fixed indexation of 7.0%</t>
  </si>
  <si>
    <t xml:space="preserve">- Rents of in-place tenants are Rs 80 / sqf / m </t>
  </si>
  <si>
    <t>- Rs 150M of annual non-recoverable opex</t>
  </si>
  <si>
    <t xml:space="preserve">- 70% LTC debt financing at 10.0% fixed interest and no amortization and no other debt related fees for simplicity </t>
  </si>
  <si>
    <t>- 4.5% exit yield and 2.0% exit transaction cost</t>
  </si>
  <si>
    <t>Build a simple cash-flow model to determine whether Thanos can achieve its target returns when paying Rs90 Billion.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</si>
</sst>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5" formatCode="&quot;₹&quot;\ #,##0;&quot;₹&quot;\ \-#,##0"/>
    <numFmt numFmtId="43" formatCode="_ * #,##0.00_ ;_ * \-#,##0.00_ ;_ * &quot;-&quot;??_ ;_ @_ "/>
    <numFmt numFmtId="164" formatCode="#,##0_);\(##,##0\);\-_)"/>
    <numFmt numFmtId="165" formatCode="[$-409]mmm\-yy;@"/>
    <numFmt numFmtId="166" formatCode="\€#,##0.0_);\(\€#,##0.0\);\-_)"/>
    <numFmt numFmtId="167" formatCode="0.0"/>
    <numFmt numFmtId="168" formatCode="0.0%"/>
    <numFmt numFmtId="170" formatCode="_(#,##0.0%_);\(#,##0.0%\);_(&quot;–&quot;_)_%;_(@_)_%"/>
    <numFmt numFmtId="171" formatCode="0.0\x_);\(0.0\x\);\-_)"/>
    <numFmt numFmtId="172" formatCode="&quot;₹&quot;\ ##"/>
    <numFmt numFmtId="173" formatCode="&quot;₹&quot;######.##0"/>
    <numFmt numFmtId="175" formatCode="&quot;₹&quot;\ #,##0.0;&quot;₹&quot;\ \-#,##0.0"/>
  </numFmts>
  <fonts count="9" x14ac:knownFonts="1">
    <font>
      <sz val="11"/>
      <color theme="1"/>
      <name val="Calibri"/>
      <family val="2"/>
      <scheme val="minor"/>
    </font>
    <font>
      <b/>
      <sz val="11"/>
      <color theme="1"/>
      <name val="Calibri"/>
      <family val="2"/>
      <scheme val="minor"/>
    </font>
    <font>
      <sz val="10"/>
      <name val="Arial"/>
      <family val="2"/>
    </font>
    <font>
      <u val="singleAccounting"/>
      <sz val="11"/>
      <color theme="1"/>
      <name val="Calibri"/>
      <family val="2"/>
      <scheme val="minor"/>
    </font>
    <font>
      <i/>
      <sz val="11"/>
      <color theme="1"/>
      <name val="Calibri"/>
      <family val="2"/>
      <scheme val="minor"/>
    </font>
    <font>
      <u/>
      <sz val="11"/>
      <color theme="1"/>
      <name val="Calibri"/>
      <family val="2"/>
      <scheme val="minor"/>
    </font>
    <font>
      <b/>
      <u val="singleAccounting"/>
      <sz val="11"/>
      <color theme="1"/>
      <name val="Calibri"/>
      <family val="2"/>
      <scheme val="minor"/>
    </font>
    <font>
      <sz val="11"/>
      <color rgb="FF0000FF"/>
      <name val="Calibri"/>
      <family val="2"/>
      <scheme val="minor"/>
    </font>
    <font>
      <sz val="11"/>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9" tint="0.79998168889431442"/>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0" fontId="2" fillId="0" borderId="0"/>
    <xf numFmtId="43" fontId="8" fillId="0" borderId="0" applyFont="0" applyFill="0" applyBorder="0" applyAlignment="0" applyProtection="0"/>
  </cellStyleXfs>
  <cellXfs count="70">
    <xf numFmtId="0" fontId="0" fillId="0" borderId="0" xfId="0"/>
    <xf numFmtId="0" fontId="0" fillId="0" borderId="2" xfId="0" applyBorder="1"/>
    <xf numFmtId="0" fontId="4" fillId="0" borderId="0" xfId="0" applyFont="1"/>
    <xf numFmtId="0" fontId="1" fillId="0" borderId="0" xfId="0" applyFont="1"/>
    <xf numFmtId="0" fontId="0" fillId="0" borderId="4" xfId="0" applyBorder="1"/>
    <xf numFmtId="0" fontId="0" fillId="0" borderId="6" xfId="0" applyBorder="1"/>
    <xf numFmtId="0" fontId="0" fillId="0" borderId="5" xfId="0" applyBorder="1"/>
    <xf numFmtId="0" fontId="0" fillId="0" borderId="1" xfId="0" applyBorder="1"/>
    <xf numFmtId="0" fontId="3" fillId="2" borderId="2" xfId="0" applyFont="1" applyFill="1" applyBorder="1" applyAlignment="1">
      <alignment horizontal="centerContinuous"/>
    </xf>
    <xf numFmtId="0" fontId="4" fillId="0" borderId="4" xfId="0" applyFont="1" applyBorder="1"/>
    <xf numFmtId="0" fontId="4" fillId="0" borderId="5" xfId="0" applyFont="1" applyBorder="1"/>
    <xf numFmtId="0" fontId="0" fillId="0" borderId="0" xfId="0" quotePrefix="1"/>
    <xf numFmtId="0" fontId="6" fillId="2" borderId="1" xfId="0" applyFont="1" applyFill="1" applyBorder="1" applyAlignment="1">
      <alignment horizontal="centerContinuous"/>
    </xf>
    <xf numFmtId="0" fontId="0" fillId="2" borderId="2" xfId="0" applyFill="1" applyBorder="1" applyAlignment="1">
      <alignment horizontal="centerContinuous"/>
    </xf>
    <xf numFmtId="0" fontId="3" fillId="2" borderId="10" xfId="0" applyFont="1" applyFill="1" applyBorder="1" applyAlignment="1">
      <alignment horizontal="centerContinuous"/>
    </xf>
    <xf numFmtId="0" fontId="3" fillId="2" borderId="9" xfId="0" applyFont="1" applyFill="1" applyBorder="1" applyAlignment="1">
      <alignment horizontal="centerContinuous"/>
    </xf>
    <xf numFmtId="10" fontId="7" fillId="0" borderId="5" xfId="0" applyNumberFormat="1" applyFont="1" applyBorder="1" applyAlignment="1">
      <alignment horizontal="center"/>
    </xf>
    <xf numFmtId="0" fontId="7" fillId="0" borderId="8" xfId="0" applyFont="1" applyBorder="1" applyAlignment="1">
      <alignment horizontal="center"/>
    </xf>
    <xf numFmtId="165" fontId="7" fillId="0" borderId="5" xfId="0" applyNumberFormat="1" applyFont="1" applyBorder="1" applyAlignment="1">
      <alignment horizontal="center"/>
    </xf>
    <xf numFmtId="164" fontId="7" fillId="0" borderId="8" xfId="0" applyNumberFormat="1" applyFont="1" applyBorder="1" applyAlignment="1">
      <alignment horizontal="center"/>
    </xf>
    <xf numFmtId="167" fontId="7" fillId="0" borderId="8" xfId="0" applyNumberFormat="1" applyFont="1" applyBorder="1" applyAlignment="1">
      <alignment horizontal="center"/>
    </xf>
    <xf numFmtId="168" fontId="7" fillId="0" borderId="5" xfId="0" applyNumberFormat="1" applyFont="1" applyBorder="1" applyAlignment="1">
      <alignment horizontal="center"/>
    </xf>
    <xf numFmtId="10" fontId="7" fillId="0" borderId="8" xfId="0" applyNumberFormat="1" applyFont="1" applyBorder="1" applyAlignment="1">
      <alignment horizontal="center"/>
    </xf>
    <xf numFmtId="0" fontId="4" fillId="0" borderId="2" xfId="0" applyFont="1" applyBorder="1"/>
    <xf numFmtId="164" fontId="0" fillId="0" borderId="0" xfId="0" applyNumberFormat="1" applyAlignment="1">
      <alignment horizontal="center"/>
    </xf>
    <xf numFmtId="170" fontId="7" fillId="0" borderId="5" xfId="0" applyNumberFormat="1" applyFont="1" applyBorder="1" applyAlignment="1">
      <alignment horizontal="center"/>
    </xf>
    <xf numFmtId="168" fontId="0" fillId="0" borderId="0" xfId="0" applyNumberFormat="1" applyAlignment="1">
      <alignment horizontal="center"/>
    </xf>
    <xf numFmtId="0" fontId="0" fillId="3" borderId="0" xfId="0" applyFill="1"/>
    <xf numFmtId="0" fontId="3" fillId="2" borderId="0" xfId="0" applyFont="1" applyFill="1"/>
    <xf numFmtId="165" fontId="3" fillId="2" borderId="0" xfId="0" applyNumberFormat="1" applyFont="1" applyFill="1" applyAlignment="1">
      <alignment horizontal="center"/>
    </xf>
    <xf numFmtId="0" fontId="3" fillId="2" borderId="1" xfId="0" applyFont="1" applyFill="1" applyBorder="1" applyAlignment="1">
      <alignment horizontal="centerContinuous"/>
    </xf>
    <xf numFmtId="0" fontId="3" fillId="2" borderId="3" xfId="0" applyFont="1" applyFill="1" applyBorder="1" applyAlignment="1">
      <alignment horizontal="centerContinuous"/>
    </xf>
    <xf numFmtId="170" fontId="0" fillId="0" borderId="3" xfId="0" applyNumberFormat="1" applyBorder="1" applyAlignment="1">
      <alignment horizontal="center"/>
    </xf>
    <xf numFmtId="171" fontId="0" fillId="0" borderId="8" xfId="0" applyNumberFormat="1" applyBorder="1" applyAlignment="1">
      <alignment horizontal="center"/>
    </xf>
    <xf numFmtId="165" fontId="3" fillId="2" borderId="12" xfId="0" applyNumberFormat="1" applyFont="1" applyFill="1" applyBorder="1" applyAlignment="1">
      <alignment horizontal="center"/>
    </xf>
    <xf numFmtId="166" fontId="0" fillId="0" borderId="13" xfId="0" applyNumberFormat="1" applyBorder="1" applyAlignment="1">
      <alignment horizontal="center"/>
    </xf>
    <xf numFmtId="168" fontId="0" fillId="0" borderId="13" xfId="0" applyNumberFormat="1" applyBorder="1" applyAlignment="1">
      <alignment horizontal="center"/>
    </xf>
    <xf numFmtId="164" fontId="0" fillId="0" borderId="13" xfId="0" applyNumberFormat="1" applyBorder="1" applyAlignment="1">
      <alignment horizontal="center"/>
    </xf>
    <xf numFmtId="164" fontId="7" fillId="4" borderId="5" xfId="0" applyNumberFormat="1" applyFont="1" applyFill="1" applyBorder="1" applyAlignment="1">
      <alignment horizontal="center"/>
    </xf>
    <xf numFmtId="172" fontId="7" fillId="0" borderId="5" xfId="0" applyNumberFormat="1" applyFont="1" applyBorder="1" applyAlignment="1">
      <alignment horizontal="center"/>
    </xf>
    <xf numFmtId="173" fontId="0" fillId="0" borderId="0" xfId="0" applyNumberFormat="1" applyAlignment="1">
      <alignment horizontal="center"/>
    </xf>
    <xf numFmtId="0" fontId="1" fillId="3" borderId="0" xfId="0" applyFont="1" applyFill="1"/>
    <xf numFmtId="0" fontId="0" fillId="0" borderId="17" xfId="0" applyBorder="1"/>
    <xf numFmtId="0" fontId="0" fillId="0" borderId="0" xfId="0" applyAlignment="1">
      <alignment horizontal="center"/>
    </xf>
    <xf numFmtId="0" fontId="0" fillId="0" borderId="18" xfId="0" applyBorder="1"/>
    <xf numFmtId="164" fontId="0" fillId="0" borderId="18" xfId="0" applyNumberFormat="1" applyBorder="1" applyAlignment="1">
      <alignment horizontal="center"/>
    </xf>
    <xf numFmtId="0" fontId="0" fillId="0" borderId="19" xfId="0" applyBorder="1"/>
    <xf numFmtId="164" fontId="0" fillId="0" borderId="20" xfId="0" applyNumberFormat="1" applyBorder="1" applyAlignment="1">
      <alignment horizontal="center"/>
    </xf>
    <xf numFmtId="164" fontId="0" fillId="0" borderId="21" xfId="0" applyNumberFormat="1" applyBorder="1" applyAlignment="1">
      <alignment horizontal="center"/>
    </xf>
    <xf numFmtId="0" fontId="1" fillId="3" borderId="14" xfId="0" applyFont="1" applyFill="1" applyBorder="1"/>
    <xf numFmtId="0" fontId="0" fillId="3" borderId="15" xfId="0" applyFill="1" applyBorder="1"/>
    <xf numFmtId="0" fontId="0" fillId="3" borderId="16" xfId="0" applyFill="1" applyBorder="1"/>
    <xf numFmtId="0" fontId="0" fillId="0" borderId="1" xfId="0" applyBorder="1" applyAlignment="1">
      <alignment horizontal="left" vertical="top" wrapText="1"/>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43" fontId="0" fillId="0" borderId="0" xfId="2" applyFont="1"/>
    <xf numFmtId="5" fontId="1" fillId="3" borderId="2" xfId="0" applyNumberFormat="1" applyFont="1" applyFill="1" applyBorder="1" applyAlignment="1">
      <alignment horizontal="center"/>
    </xf>
    <xf numFmtId="5" fontId="1" fillId="3" borderId="12" xfId="0" applyNumberFormat="1" applyFont="1" applyFill="1" applyBorder="1" applyAlignment="1">
      <alignment horizontal="center"/>
    </xf>
    <xf numFmtId="5" fontId="1" fillId="3" borderId="11" xfId="0" applyNumberFormat="1" applyFont="1" applyFill="1" applyBorder="1" applyAlignment="1">
      <alignment horizontal="center"/>
    </xf>
    <xf numFmtId="5" fontId="0" fillId="3" borderId="2" xfId="0" applyNumberFormat="1" applyFill="1" applyBorder="1" applyAlignment="1">
      <alignment horizontal="center"/>
    </xf>
    <xf numFmtId="5" fontId="0" fillId="3" borderId="11" xfId="0" applyNumberFormat="1" applyFill="1" applyBorder="1" applyAlignment="1">
      <alignment horizontal="center"/>
    </xf>
    <xf numFmtId="5" fontId="0" fillId="0" borderId="7" xfId="0" applyNumberFormat="1" applyBorder="1" applyAlignment="1">
      <alignment horizontal="center"/>
    </xf>
    <xf numFmtId="175" fontId="0" fillId="0" borderId="7" xfId="0" applyNumberFormat="1" applyBorder="1" applyAlignment="1">
      <alignment horizontal="center"/>
    </xf>
    <xf numFmtId="170" fontId="0" fillId="5" borderId="3" xfId="0" applyNumberFormat="1" applyFill="1" applyBorder="1" applyAlignment="1">
      <alignment horizontal="center"/>
    </xf>
  </cellXfs>
  <cellStyles count="3">
    <cellStyle name="Comma" xfId="2" builtinId="3"/>
    <cellStyle name="Normal" xfId="0" builtinId="0"/>
    <cellStyle name="Normal 3" xfId="1" xr:uid="{B8B2A964-F17A-4717-B5B9-1D5A2D9C0078}"/>
  </cellStyles>
  <dxfs count="0"/>
  <tableStyles count="0" defaultTableStyle="TableStyleMedium2" defaultPivotStyle="PivotStyleLight16"/>
  <colors>
    <mruColors>
      <color rgb="FF7BB5F5"/>
      <color rgb="FFF2F2F2"/>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69AA3-4DC4-4A9A-A1F3-DBE5C9D3D839}">
  <dimension ref="C3:M28"/>
  <sheetViews>
    <sheetView showGridLines="0" view="pageBreakPreview" zoomScaleNormal="100" zoomScaleSheetLayoutView="100" workbookViewId="0">
      <selection activeCell="G34" sqref="G34"/>
    </sheetView>
  </sheetViews>
  <sheetFormatPr defaultRowHeight="15" x14ac:dyDescent="0.25"/>
  <cols>
    <col min="2" max="2" width="1.28515625" customWidth="1"/>
    <col min="14" max="14" width="1.5703125" customWidth="1"/>
  </cols>
  <sheetData>
    <row r="3" spans="3:13" ht="7.5" customHeight="1" x14ac:dyDescent="0.25"/>
    <row r="4" spans="3:13" x14ac:dyDescent="0.25">
      <c r="C4" s="52" t="s">
        <v>1</v>
      </c>
      <c r="D4" s="53"/>
      <c r="E4" s="53"/>
      <c r="F4" s="53"/>
      <c r="G4" s="53"/>
      <c r="H4" s="53"/>
      <c r="I4" s="53"/>
      <c r="J4" s="53"/>
      <c r="K4" s="53"/>
      <c r="L4" s="53"/>
      <c r="M4" s="54"/>
    </row>
    <row r="5" spans="3:13" x14ac:dyDescent="0.25">
      <c r="C5" s="55"/>
      <c r="D5" s="56"/>
      <c r="E5" s="56"/>
      <c r="F5" s="56"/>
      <c r="G5" s="56"/>
      <c r="H5" s="56"/>
      <c r="I5" s="56"/>
      <c r="J5" s="56"/>
      <c r="K5" s="56"/>
      <c r="L5" s="56"/>
      <c r="M5" s="57"/>
    </row>
    <row r="6" spans="3:13" x14ac:dyDescent="0.25">
      <c r="C6" s="55"/>
      <c r="D6" s="56"/>
      <c r="E6" s="56"/>
      <c r="F6" s="56"/>
      <c r="G6" s="56"/>
      <c r="H6" s="56"/>
      <c r="I6" s="56"/>
      <c r="J6" s="56"/>
      <c r="K6" s="56"/>
      <c r="L6" s="56"/>
      <c r="M6" s="57"/>
    </row>
    <row r="7" spans="3:13" x14ac:dyDescent="0.25">
      <c r="C7" s="55"/>
      <c r="D7" s="56"/>
      <c r="E7" s="56"/>
      <c r="F7" s="56"/>
      <c r="G7" s="56"/>
      <c r="H7" s="56"/>
      <c r="I7" s="56"/>
      <c r="J7" s="56"/>
      <c r="K7" s="56"/>
      <c r="L7" s="56"/>
      <c r="M7" s="57"/>
    </row>
    <row r="8" spans="3:13" x14ac:dyDescent="0.25">
      <c r="C8" s="55"/>
      <c r="D8" s="56"/>
      <c r="E8" s="56"/>
      <c r="F8" s="56"/>
      <c r="G8" s="56"/>
      <c r="H8" s="56"/>
      <c r="I8" s="56"/>
      <c r="J8" s="56"/>
      <c r="K8" s="56"/>
      <c r="L8" s="56"/>
      <c r="M8" s="57"/>
    </row>
    <row r="9" spans="3:13" x14ac:dyDescent="0.25">
      <c r="C9" s="55"/>
      <c r="D9" s="56"/>
      <c r="E9" s="56"/>
      <c r="F9" s="56"/>
      <c r="G9" s="56"/>
      <c r="H9" s="56"/>
      <c r="I9" s="56"/>
      <c r="J9" s="56"/>
      <c r="K9" s="56"/>
      <c r="L9" s="56"/>
      <c r="M9" s="57"/>
    </row>
    <row r="10" spans="3:13" x14ac:dyDescent="0.25">
      <c r="C10" s="55"/>
      <c r="D10" s="56"/>
      <c r="E10" s="56"/>
      <c r="F10" s="56"/>
      <c r="G10" s="56"/>
      <c r="H10" s="56"/>
      <c r="I10" s="56"/>
      <c r="J10" s="56"/>
      <c r="K10" s="56"/>
      <c r="L10" s="56"/>
      <c r="M10" s="57"/>
    </row>
    <row r="11" spans="3:13" x14ac:dyDescent="0.25">
      <c r="C11" s="55"/>
      <c r="D11" s="56"/>
      <c r="E11" s="56"/>
      <c r="F11" s="56"/>
      <c r="G11" s="56"/>
      <c r="H11" s="56"/>
      <c r="I11" s="56"/>
      <c r="J11" s="56"/>
      <c r="K11" s="56"/>
      <c r="L11" s="56"/>
      <c r="M11" s="57"/>
    </row>
    <row r="12" spans="3:13" x14ac:dyDescent="0.25">
      <c r="C12" s="55"/>
      <c r="D12" s="56"/>
      <c r="E12" s="56"/>
      <c r="F12" s="56"/>
      <c r="G12" s="56"/>
      <c r="H12" s="56"/>
      <c r="I12" s="56"/>
      <c r="J12" s="56"/>
      <c r="K12" s="56"/>
      <c r="L12" s="56"/>
      <c r="M12" s="57"/>
    </row>
    <row r="13" spans="3:13" x14ac:dyDescent="0.25">
      <c r="C13" s="55"/>
      <c r="D13" s="56"/>
      <c r="E13" s="56"/>
      <c r="F13" s="56"/>
      <c r="G13" s="56"/>
      <c r="H13" s="56"/>
      <c r="I13" s="56"/>
      <c r="J13" s="56"/>
      <c r="K13" s="56"/>
      <c r="L13" s="56"/>
      <c r="M13" s="57"/>
    </row>
    <row r="14" spans="3:13" x14ac:dyDescent="0.25">
      <c r="C14" s="55"/>
      <c r="D14" s="56"/>
      <c r="E14" s="56"/>
      <c r="F14" s="56"/>
      <c r="G14" s="56"/>
      <c r="H14" s="56"/>
      <c r="I14" s="56"/>
      <c r="J14" s="56"/>
      <c r="K14" s="56"/>
      <c r="L14" s="56"/>
      <c r="M14" s="57"/>
    </row>
    <row r="15" spans="3:13" x14ac:dyDescent="0.25">
      <c r="C15" s="55"/>
      <c r="D15" s="56"/>
      <c r="E15" s="56"/>
      <c r="F15" s="56"/>
      <c r="G15" s="56"/>
      <c r="H15" s="56"/>
      <c r="I15" s="56"/>
      <c r="J15" s="56"/>
      <c r="K15" s="56"/>
      <c r="L15" s="56"/>
      <c r="M15" s="57"/>
    </row>
    <row r="16" spans="3:13" x14ac:dyDescent="0.25">
      <c r="C16" s="55"/>
      <c r="D16" s="56"/>
      <c r="E16" s="56"/>
      <c r="F16" s="56"/>
      <c r="G16" s="56"/>
      <c r="H16" s="56"/>
      <c r="I16" s="56"/>
      <c r="J16" s="56"/>
      <c r="K16" s="56"/>
      <c r="L16" s="56"/>
      <c r="M16" s="57"/>
    </row>
    <row r="17" spans="3:13" x14ac:dyDescent="0.25">
      <c r="C17" s="55"/>
      <c r="D17" s="56"/>
      <c r="E17" s="56"/>
      <c r="F17" s="56"/>
      <c r="G17" s="56"/>
      <c r="H17" s="56"/>
      <c r="I17" s="56"/>
      <c r="J17" s="56"/>
      <c r="K17" s="56"/>
      <c r="L17" s="56"/>
      <c r="M17" s="57"/>
    </row>
    <row r="18" spans="3:13" x14ac:dyDescent="0.25">
      <c r="C18" s="55"/>
      <c r="D18" s="56"/>
      <c r="E18" s="56"/>
      <c r="F18" s="56"/>
      <c r="G18" s="56"/>
      <c r="H18" s="56"/>
      <c r="I18" s="56"/>
      <c r="J18" s="56"/>
      <c r="K18" s="56"/>
      <c r="L18" s="56"/>
      <c r="M18" s="57"/>
    </row>
    <row r="19" spans="3:13" x14ac:dyDescent="0.25">
      <c r="C19" s="55"/>
      <c r="D19" s="56"/>
      <c r="E19" s="56"/>
      <c r="F19" s="56"/>
      <c r="G19" s="56"/>
      <c r="H19" s="56"/>
      <c r="I19" s="56"/>
      <c r="J19" s="56"/>
      <c r="K19" s="56"/>
      <c r="L19" s="56"/>
      <c r="M19" s="57"/>
    </row>
    <row r="20" spans="3:13" x14ac:dyDescent="0.25">
      <c r="C20" s="55"/>
      <c r="D20" s="56"/>
      <c r="E20" s="56"/>
      <c r="F20" s="56"/>
      <c r="G20" s="56"/>
      <c r="H20" s="56"/>
      <c r="I20" s="56"/>
      <c r="J20" s="56"/>
      <c r="K20" s="56"/>
      <c r="L20" s="56"/>
      <c r="M20" s="57"/>
    </row>
    <row r="21" spans="3:13" x14ac:dyDescent="0.25">
      <c r="C21" s="55"/>
      <c r="D21" s="56"/>
      <c r="E21" s="56"/>
      <c r="F21" s="56"/>
      <c r="G21" s="56"/>
      <c r="H21" s="56"/>
      <c r="I21" s="56"/>
      <c r="J21" s="56"/>
      <c r="K21" s="56"/>
      <c r="L21" s="56"/>
      <c r="M21" s="57"/>
    </row>
    <row r="22" spans="3:13" x14ac:dyDescent="0.25">
      <c r="C22" s="55"/>
      <c r="D22" s="56"/>
      <c r="E22" s="56"/>
      <c r="F22" s="56"/>
      <c r="G22" s="56"/>
      <c r="H22" s="56"/>
      <c r="I22" s="56"/>
      <c r="J22" s="56"/>
      <c r="K22" s="56"/>
      <c r="L22" s="56"/>
      <c r="M22" s="57"/>
    </row>
    <row r="23" spans="3:13" x14ac:dyDescent="0.25">
      <c r="C23" s="55"/>
      <c r="D23" s="56"/>
      <c r="E23" s="56"/>
      <c r="F23" s="56"/>
      <c r="G23" s="56"/>
      <c r="H23" s="56"/>
      <c r="I23" s="56"/>
      <c r="J23" s="56"/>
      <c r="K23" s="56"/>
      <c r="L23" s="56"/>
      <c r="M23" s="57"/>
    </row>
    <row r="24" spans="3:13" x14ac:dyDescent="0.25">
      <c r="C24" s="55"/>
      <c r="D24" s="56"/>
      <c r="E24" s="56"/>
      <c r="F24" s="56"/>
      <c r="G24" s="56"/>
      <c r="H24" s="56"/>
      <c r="I24" s="56"/>
      <c r="J24" s="56"/>
      <c r="K24" s="56"/>
      <c r="L24" s="56"/>
      <c r="M24" s="57"/>
    </row>
    <row r="25" spans="3:13" x14ac:dyDescent="0.25">
      <c r="C25" s="55"/>
      <c r="D25" s="56"/>
      <c r="E25" s="56"/>
      <c r="F25" s="56"/>
      <c r="G25" s="56"/>
      <c r="H25" s="56"/>
      <c r="I25" s="56"/>
      <c r="J25" s="56"/>
      <c r="K25" s="56"/>
      <c r="L25" s="56"/>
      <c r="M25" s="57"/>
    </row>
    <row r="26" spans="3:13" x14ac:dyDescent="0.25">
      <c r="C26" s="55"/>
      <c r="D26" s="56"/>
      <c r="E26" s="56"/>
      <c r="F26" s="56"/>
      <c r="G26" s="56"/>
      <c r="H26" s="56"/>
      <c r="I26" s="56"/>
      <c r="J26" s="56"/>
      <c r="K26" s="56"/>
      <c r="L26" s="56"/>
      <c r="M26" s="57"/>
    </row>
    <row r="27" spans="3:13" x14ac:dyDescent="0.25">
      <c r="C27" s="58"/>
      <c r="D27" s="59"/>
      <c r="E27" s="59"/>
      <c r="F27" s="59"/>
      <c r="G27" s="59"/>
      <c r="H27" s="59"/>
      <c r="I27" s="59"/>
      <c r="J27" s="59"/>
      <c r="K27" s="59"/>
      <c r="L27" s="59"/>
      <c r="M27" s="60"/>
    </row>
    <row r="28" spans="3:13" ht="6" customHeight="1" x14ac:dyDescent="0.25"/>
  </sheetData>
  <mergeCells count="1">
    <mergeCell ref="C4:M27"/>
  </mergeCells>
  <pageMargins left="0.7" right="0.7" top="0.75" bottom="0.75" header="0.3" footer="0.3"/>
  <pageSetup scale="82"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33E4A-8EBE-4067-BB42-22FBA94CA7C8}">
  <sheetPr>
    <pageSetUpPr fitToPage="1"/>
  </sheetPr>
  <dimension ref="C3:U34"/>
  <sheetViews>
    <sheetView showGridLines="0" view="pageBreakPreview" zoomScaleNormal="100" zoomScaleSheetLayoutView="100" workbookViewId="0">
      <selection activeCell="D28" sqref="D28"/>
    </sheetView>
  </sheetViews>
  <sheetFormatPr defaultRowHeight="15" x14ac:dyDescent="0.25"/>
  <cols>
    <col min="2" max="2" width="2.7109375" customWidth="1"/>
    <col min="3" max="3" width="1.28515625" customWidth="1"/>
    <col min="4" max="21" width="9.28515625" customWidth="1"/>
    <col min="22" max="22" width="2.28515625" customWidth="1"/>
  </cols>
  <sheetData>
    <row r="3" spans="3:21" ht="17.25" x14ac:dyDescent="0.4">
      <c r="C3" s="12" t="s">
        <v>3</v>
      </c>
      <c r="D3" s="13"/>
      <c r="E3" s="8"/>
      <c r="F3" s="8"/>
      <c r="G3" s="14"/>
      <c r="H3" s="14"/>
      <c r="I3" s="14"/>
      <c r="J3" s="14"/>
      <c r="K3" s="14"/>
      <c r="L3" s="14"/>
      <c r="M3" s="14"/>
      <c r="N3" s="14"/>
      <c r="O3" s="14"/>
      <c r="P3" s="14"/>
      <c r="Q3" s="14"/>
      <c r="R3" s="14"/>
      <c r="S3" s="14"/>
      <c r="T3" s="14"/>
      <c r="U3" s="15"/>
    </row>
    <row r="4" spans="3:21" x14ac:dyDescent="0.25">
      <c r="C4" s="7"/>
      <c r="D4" s="1"/>
      <c r="E4" s="1"/>
      <c r="F4" s="1"/>
      <c r="U4" s="6"/>
    </row>
    <row r="5" spans="3:21" x14ac:dyDescent="0.25">
      <c r="C5" s="4"/>
      <c r="D5" t="s">
        <v>4</v>
      </c>
      <c r="U5" s="6"/>
    </row>
    <row r="6" spans="3:21" x14ac:dyDescent="0.25">
      <c r="C6" s="4"/>
      <c r="D6" t="s">
        <v>5</v>
      </c>
      <c r="U6" s="6"/>
    </row>
    <row r="7" spans="3:21" s="2" customFormat="1" x14ac:dyDescent="0.25">
      <c r="C7" s="9"/>
      <c r="U7" s="10"/>
    </row>
    <row r="8" spans="3:21" x14ac:dyDescent="0.25">
      <c r="C8" s="4"/>
      <c r="D8" t="s">
        <v>9</v>
      </c>
      <c r="U8" s="6"/>
    </row>
    <row r="9" spans="3:21" x14ac:dyDescent="0.25">
      <c r="C9" s="4"/>
      <c r="D9" t="s">
        <v>11</v>
      </c>
      <c r="U9" s="6"/>
    </row>
    <row r="10" spans="3:21" x14ac:dyDescent="0.25">
      <c r="C10" s="4"/>
      <c r="D10" t="s">
        <v>72</v>
      </c>
      <c r="U10" s="6"/>
    </row>
    <row r="11" spans="3:21" x14ac:dyDescent="0.25">
      <c r="C11" s="4"/>
      <c r="D11" t="s">
        <v>10</v>
      </c>
      <c r="U11" s="6"/>
    </row>
    <row r="12" spans="3:21" x14ac:dyDescent="0.25">
      <c r="C12" s="4"/>
      <c r="D12" t="s">
        <v>6</v>
      </c>
      <c r="U12" s="6"/>
    </row>
    <row r="13" spans="3:21" x14ac:dyDescent="0.25">
      <c r="C13" s="4"/>
      <c r="U13" s="6"/>
    </row>
    <row r="14" spans="3:21" x14ac:dyDescent="0.25">
      <c r="C14" s="4"/>
      <c r="D14" s="3" t="s">
        <v>0</v>
      </c>
      <c r="U14" s="6"/>
    </row>
    <row r="15" spans="3:21" x14ac:dyDescent="0.25">
      <c r="C15" s="4"/>
      <c r="D15" s="11" t="s">
        <v>73</v>
      </c>
      <c r="U15" s="6"/>
    </row>
    <row r="16" spans="3:21" x14ac:dyDescent="0.25">
      <c r="C16" s="4"/>
      <c r="D16" s="11" t="s">
        <v>74</v>
      </c>
      <c r="U16" s="6"/>
    </row>
    <row r="17" spans="3:21" x14ac:dyDescent="0.25">
      <c r="C17" s="4"/>
      <c r="D17" s="11" t="s">
        <v>75</v>
      </c>
      <c r="U17" s="6"/>
    </row>
    <row r="18" spans="3:21" x14ac:dyDescent="0.25">
      <c r="C18" s="4"/>
      <c r="D18" s="11" t="s">
        <v>76</v>
      </c>
      <c r="U18" s="6"/>
    </row>
    <row r="19" spans="3:21" x14ac:dyDescent="0.25">
      <c r="C19" s="4"/>
      <c r="D19" s="11" t="s">
        <v>77</v>
      </c>
      <c r="U19" s="6"/>
    </row>
    <row r="20" spans="3:21" x14ac:dyDescent="0.25">
      <c r="C20" s="4"/>
      <c r="D20" s="11" t="s">
        <v>78</v>
      </c>
      <c r="U20" s="6"/>
    </row>
    <row r="21" spans="3:21" x14ac:dyDescent="0.25">
      <c r="C21" s="4"/>
      <c r="D21" s="11" t="s">
        <v>79</v>
      </c>
      <c r="U21" s="6"/>
    </row>
    <row r="22" spans="3:21" x14ac:dyDescent="0.25">
      <c r="C22" s="4"/>
      <c r="D22" s="11" t="s">
        <v>26</v>
      </c>
      <c r="U22" s="6"/>
    </row>
    <row r="23" spans="3:21" x14ac:dyDescent="0.25">
      <c r="C23" s="4"/>
      <c r="D23" s="11" t="s">
        <v>61</v>
      </c>
      <c r="U23" s="6"/>
    </row>
    <row r="24" spans="3:21" x14ac:dyDescent="0.25">
      <c r="C24" s="4"/>
      <c r="D24" s="11" t="s">
        <v>27</v>
      </c>
      <c r="U24" s="6"/>
    </row>
    <row r="25" spans="3:21" x14ac:dyDescent="0.25">
      <c r="C25" s="4"/>
      <c r="D25" s="11" t="s">
        <v>80</v>
      </c>
      <c r="U25" s="6"/>
    </row>
    <row r="26" spans="3:21" x14ac:dyDescent="0.25">
      <c r="C26" s="4"/>
      <c r="D26" s="11" t="s">
        <v>7</v>
      </c>
      <c r="U26" s="6"/>
    </row>
    <row r="27" spans="3:21" x14ac:dyDescent="0.25">
      <c r="C27" s="4"/>
      <c r="D27" s="11" t="s">
        <v>81</v>
      </c>
      <c r="U27" s="6"/>
    </row>
    <row r="28" spans="3:21" x14ac:dyDescent="0.25">
      <c r="C28" s="4"/>
      <c r="D28" s="11" t="s">
        <v>8</v>
      </c>
      <c r="U28" s="6"/>
    </row>
    <row r="29" spans="3:21" x14ac:dyDescent="0.25">
      <c r="C29" s="4"/>
      <c r="U29" s="6"/>
    </row>
    <row r="30" spans="3:21" x14ac:dyDescent="0.25">
      <c r="C30" s="4"/>
      <c r="D30" s="3" t="s">
        <v>2</v>
      </c>
      <c r="U30" s="6"/>
    </row>
    <row r="31" spans="3:21" x14ac:dyDescent="0.25">
      <c r="C31" s="4"/>
      <c r="D31" t="s">
        <v>82</v>
      </c>
      <c r="U31" s="6"/>
    </row>
    <row r="32" spans="3:21" x14ac:dyDescent="0.25">
      <c r="C32" s="4"/>
      <c r="D32" t="s">
        <v>12</v>
      </c>
      <c r="U32" s="6"/>
    </row>
    <row r="33" spans="3:21" x14ac:dyDescent="0.25">
      <c r="C33" s="4"/>
      <c r="U33" s="6"/>
    </row>
    <row r="34" spans="3:21" x14ac:dyDescent="0.25">
      <c r="C34" s="1"/>
      <c r="D34" s="1"/>
      <c r="E34" s="1"/>
      <c r="F34" s="1"/>
      <c r="G34" s="1"/>
      <c r="H34" s="1"/>
      <c r="I34" s="1"/>
      <c r="J34" s="1"/>
      <c r="K34" s="1"/>
      <c r="L34" s="1"/>
      <c r="M34" s="1"/>
      <c r="N34" s="1"/>
      <c r="O34" s="1"/>
      <c r="P34" s="1"/>
      <c r="Q34" s="1"/>
      <c r="R34" s="1"/>
      <c r="S34" s="1"/>
      <c r="T34" s="1"/>
      <c r="U34" s="1"/>
    </row>
  </sheetData>
  <pageMargins left="0.11811023622047245" right="0.11811023622047245" top="0.15748031496062992" bottom="0.15748031496062992" header="0.31496062992125984" footer="0.31496062992125984"/>
  <pageSetup paperSize="9" scale="84" orientation="landscape"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6966DE-F5FE-4DDB-9C28-F2AD2349B2B3}">
  <sheetPr>
    <pageSetUpPr fitToPage="1"/>
  </sheetPr>
  <dimension ref="C2:O78"/>
  <sheetViews>
    <sheetView showGridLines="0" tabSelected="1" view="pageBreakPreview" topLeftCell="A46" zoomScaleNormal="100" zoomScaleSheetLayoutView="100" workbookViewId="0">
      <selection activeCell="G53" sqref="G53"/>
    </sheetView>
  </sheetViews>
  <sheetFormatPr defaultRowHeight="15" outlineLevelCol="1" x14ac:dyDescent="0.25"/>
  <cols>
    <col min="2" max="2" width="2.7109375" customWidth="1"/>
    <col min="3" max="3" width="18.5703125" customWidth="1"/>
    <col min="4" max="5" width="18.42578125" customWidth="1"/>
    <col min="6" max="6" width="19.85546875" bestFit="1" customWidth="1"/>
    <col min="7" max="9" width="18.42578125" customWidth="1"/>
    <col min="10" max="14" width="18.42578125" customWidth="1" outlineLevel="1"/>
    <col min="15" max="15" width="18.42578125" customWidth="1"/>
    <col min="16" max="16" width="2.7109375" customWidth="1"/>
    <col min="17" max="19" width="13" customWidth="1"/>
  </cols>
  <sheetData>
    <row r="2" spans="3:15" x14ac:dyDescent="0.25">
      <c r="C2" t="s">
        <v>33</v>
      </c>
      <c r="D2" s="24">
        <v>0</v>
      </c>
      <c r="E2" s="24">
        <f>D2+1</f>
        <v>1</v>
      </c>
      <c r="F2" s="24">
        <f t="shared" ref="F2:N2" si="0">E2+1</f>
        <v>2</v>
      </c>
      <c r="G2" s="24">
        <f t="shared" si="0"/>
        <v>3</v>
      </c>
      <c r="H2" s="24">
        <f t="shared" si="0"/>
        <v>4</v>
      </c>
      <c r="I2" s="24">
        <f t="shared" si="0"/>
        <v>5</v>
      </c>
      <c r="J2" s="24">
        <f t="shared" si="0"/>
        <v>6</v>
      </c>
      <c r="K2" s="24">
        <f t="shared" si="0"/>
        <v>7</v>
      </c>
      <c r="L2" s="24">
        <f t="shared" si="0"/>
        <v>8</v>
      </c>
      <c r="M2" s="24">
        <f t="shared" si="0"/>
        <v>9</v>
      </c>
      <c r="N2" s="24">
        <f t="shared" si="0"/>
        <v>10</v>
      </c>
      <c r="O2" s="24"/>
    </row>
    <row r="5" spans="3:15" x14ac:dyDescent="0.25">
      <c r="C5" s="3" t="s">
        <v>14</v>
      </c>
    </row>
    <row r="6" spans="3:15" x14ac:dyDescent="0.25">
      <c r="C6" s="23" t="s">
        <v>63</v>
      </c>
      <c r="D6" s="1"/>
      <c r="E6" s="1"/>
      <c r="F6" s="1"/>
      <c r="G6" s="1"/>
      <c r="H6" s="1"/>
      <c r="I6" s="1"/>
      <c r="J6" s="1"/>
      <c r="K6" s="1"/>
      <c r="L6" s="1"/>
      <c r="M6" s="1"/>
      <c r="N6" s="1"/>
      <c r="O6" s="1"/>
    </row>
    <row r="10" spans="3:15" ht="17.25" x14ac:dyDescent="0.4">
      <c r="C10" s="30" t="s">
        <v>15</v>
      </c>
      <c r="D10" s="31"/>
      <c r="F10" s="30" t="s">
        <v>21</v>
      </c>
      <c r="G10" s="31"/>
    </row>
    <row r="11" spans="3:15" x14ac:dyDescent="0.25">
      <c r="C11" s="4" t="s">
        <v>13</v>
      </c>
      <c r="D11" s="38">
        <v>42301010.262985267</v>
      </c>
      <c r="F11" s="4" t="s">
        <v>65</v>
      </c>
      <c r="G11" s="21">
        <v>0.7</v>
      </c>
      <c r="L11" s="61"/>
    </row>
    <row r="12" spans="3:15" x14ac:dyDescent="0.25">
      <c r="C12" s="4" t="s">
        <v>69</v>
      </c>
      <c r="D12" s="16">
        <v>0.06</v>
      </c>
      <c r="F12" s="5" t="s">
        <v>22</v>
      </c>
      <c r="G12" s="22">
        <v>0.1</v>
      </c>
    </row>
    <row r="13" spans="3:15" x14ac:dyDescent="0.25">
      <c r="C13" s="5" t="s">
        <v>62</v>
      </c>
      <c r="D13" s="17">
        <v>10000</v>
      </c>
    </row>
    <row r="14" spans="3:15" ht="17.25" x14ac:dyDescent="0.4">
      <c r="F14" s="30" t="s">
        <v>23</v>
      </c>
      <c r="G14" s="31"/>
    </row>
    <row r="15" spans="3:15" ht="17.25" x14ac:dyDescent="0.4">
      <c r="C15" s="30" t="s">
        <v>17</v>
      </c>
      <c r="D15" s="31"/>
      <c r="F15" s="4" t="s">
        <v>24</v>
      </c>
      <c r="G15" s="16">
        <v>4.4999999999999998E-2</v>
      </c>
    </row>
    <row r="16" spans="3:15" x14ac:dyDescent="0.25">
      <c r="C16" s="4" t="s">
        <v>18</v>
      </c>
      <c r="D16" s="18">
        <v>45656</v>
      </c>
      <c r="F16" s="4" t="s">
        <v>25</v>
      </c>
      <c r="G16" s="21">
        <v>0.02</v>
      </c>
    </row>
    <row r="17" spans="3:15" x14ac:dyDescent="0.25">
      <c r="C17" s="5" t="s">
        <v>64</v>
      </c>
      <c r="D17" s="19">
        <v>2700000</v>
      </c>
      <c r="F17" s="5" t="s">
        <v>30</v>
      </c>
      <c r="G17" s="20">
        <v>8</v>
      </c>
    </row>
    <row r="19" spans="3:15" ht="17.25" x14ac:dyDescent="0.4">
      <c r="C19" s="30" t="s">
        <v>19</v>
      </c>
      <c r="D19" s="31"/>
      <c r="F19" s="30" t="s">
        <v>28</v>
      </c>
      <c r="G19" s="31"/>
    </row>
    <row r="20" spans="3:15" x14ac:dyDescent="0.25">
      <c r="C20" s="4" t="s">
        <v>67</v>
      </c>
      <c r="D20" s="39">
        <v>80</v>
      </c>
      <c r="F20" s="4" t="s">
        <v>29</v>
      </c>
      <c r="G20" s="16">
        <v>0.06</v>
      </c>
    </row>
    <row r="21" spans="3:15" x14ac:dyDescent="0.25">
      <c r="C21" s="4" t="s">
        <v>35</v>
      </c>
      <c r="D21" s="25">
        <v>7.0000000000000007E-2</v>
      </c>
      <c r="F21" s="5" t="s">
        <v>66</v>
      </c>
      <c r="G21" s="19">
        <v>150000</v>
      </c>
    </row>
    <row r="22" spans="3:15" x14ac:dyDescent="0.25">
      <c r="C22" s="4" t="s">
        <v>34</v>
      </c>
      <c r="D22" s="21">
        <v>0.04</v>
      </c>
    </row>
    <row r="23" spans="3:15" x14ac:dyDescent="0.25">
      <c r="C23" s="4" t="s">
        <v>36</v>
      </c>
      <c r="D23" s="21">
        <v>1</v>
      </c>
    </row>
    <row r="24" spans="3:15" x14ac:dyDescent="0.25">
      <c r="C24" s="5" t="s">
        <v>20</v>
      </c>
      <c r="D24" s="20">
        <v>25</v>
      </c>
    </row>
    <row r="29" spans="3:15" x14ac:dyDescent="0.25">
      <c r="C29" s="3" t="s">
        <v>48</v>
      </c>
    </row>
    <row r="30" spans="3:15" ht="17.25" x14ac:dyDescent="0.4">
      <c r="C30" s="28" t="s">
        <v>32</v>
      </c>
      <c r="D30" s="29">
        <f>D16</f>
        <v>45656</v>
      </c>
      <c r="E30" s="29">
        <f>EOMONTH(D30,12)</f>
        <v>46022</v>
      </c>
      <c r="F30" s="29">
        <f t="shared" ref="F30:L30" si="1">EOMONTH(E30,12)</f>
        <v>46387</v>
      </c>
      <c r="G30" s="29">
        <f t="shared" si="1"/>
        <v>46752</v>
      </c>
      <c r="H30" s="29">
        <f t="shared" si="1"/>
        <v>47118</v>
      </c>
      <c r="I30" s="29">
        <f t="shared" si="1"/>
        <v>47483</v>
      </c>
      <c r="J30" s="29">
        <f t="shared" si="1"/>
        <v>47848</v>
      </c>
      <c r="K30" s="29">
        <f t="shared" si="1"/>
        <v>48213</v>
      </c>
      <c r="L30" s="29">
        <f t="shared" si="1"/>
        <v>48579</v>
      </c>
      <c r="M30" s="29">
        <f t="shared" ref="M30:N30" si="2">EOMONTH(L30,12)</f>
        <v>48944</v>
      </c>
      <c r="N30" s="29">
        <f t="shared" si="2"/>
        <v>49309</v>
      </c>
      <c r="O30" s="34" t="s">
        <v>59</v>
      </c>
    </row>
    <row r="31" spans="3:15" x14ac:dyDescent="0.25">
      <c r="C31" t="s">
        <v>68</v>
      </c>
      <c r="D31" s="40">
        <f>D20</f>
        <v>80</v>
      </c>
      <c r="E31" s="40">
        <f>D31*(1+$D$21)</f>
        <v>85.600000000000009</v>
      </c>
      <c r="F31" s="40">
        <f>E31*(1+$D$21)</f>
        <v>91.592000000000013</v>
      </c>
      <c r="G31" s="40">
        <f>F31*(1+$D$21)</f>
        <v>98.003440000000026</v>
      </c>
      <c r="H31" s="40">
        <f>G31*(1+$D$21)</f>
        <v>104.86368080000004</v>
      </c>
      <c r="I31" s="40">
        <f>H31*(1+$D$21)</f>
        <v>112.20413845600005</v>
      </c>
      <c r="J31" s="40">
        <f>I31*(1+$D$21)</f>
        <v>120.05842814792007</v>
      </c>
      <c r="K31" s="40">
        <f>J31*(1+$D$21)</f>
        <v>128.46251811827449</v>
      </c>
      <c r="L31" s="40">
        <f>K31*(1+$D$21)</f>
        <v>137.45489438655372</v>
      </c>
      <c r="M31" s="40">
        <f>L31*(1+$D$21)</f>
        <v>147.07673699361249</v>
      </c>
      <c r="N31" s="40">
        <f>M31*(1+$D$21)</f>
        <v>157.37210858316536</v>
      </c>
      <c r="O31" s="35" t="s">
        <v>60</v>
      </c>
    </row>
    <row r="32" spans="3:15" x14ac:dyDescent="0.25">
      <c r="C32" t="s">
        <v>31</v>
      </c>
      <c r="D32" s="26">
        <f>D23</f>
        <v>1</v>
      </c>
      <c r="E32" s="26">
        <f>D32</f>
        <v>1</v>
      </c>
      <c r="F32" s="26">
        <f t="shared" ref="F32:N32" si="3">E32</f>
        <v>1</v>
      </c>
      <c r="G32" s="26">
        <f t="shared" si="3"/>
        <v>1</v>
      </c>
      <c r="H32" s="26">
        <f t="shared" si="3"/>
        <v>1</v>
      </c>
      <c r="I32" s="26">
        <f t="shared" si="3"/>
        <v>1</v>
      </c>
      <c r="J32" s="26">
        <f t="shared" si="3"/>
        <v>1</v>
      </c>
      <c r="K32" s="26">
        <f t="shared" si="3"/>
        <v>1</v>
      </c>
      <c r="L32" s="26">
        <f t="shared" si="3"/>
        <v>1</v>
      </c>
      <c r="M32" s="26">
        <f t="shared" si="3"/>
        <v>1</v>
      </c>
      <c r="N32" s="26">
        <f t="shared" si="3"/>
        <v>1</v>
      </c>
      <c r="O32" s="36" t="s">
        <v>60</v>
      </c>
    </row>
    <row r="33" spans="3:15" x14ac:dyDescent="0.25">
      <c r="C33" t="s">
        <v>37</v>
      </c>
      <c r="D33" s="24">
        <f>D32*D31*12*$D$17/1000</f>
        <v>2592000</v>
      </c>
      <c r="E33" s="24">
        <f t="shared" ref="E33:N33" si="4">E32*E31*12*$D$17/1000</f>
        <v>2773440</v>
      </c>
      <c r="F33" s="24">
        <f t="shared" si="4"/>
        <v>2967580.8000000007</v>
      </c>
      <c r="G33" s="24">
        <f t="shared" si="4"/>
        <v>3175311.4560000012</v>
      </c>
      <c r="H33" s="24">
        <f t="shared" si="4"/>
        <v>3397583.2579200012</v>
      </c>
      <c r="I33" s="24">
        <f t="shared" si="4"/>
        <v>3635414.0859744013</v>
      </c>
      <c r="J33" s="24">
        <f t="shared" si="4"/>
        <v>3889893.0719926106</v>
      </c>
      <c r="K33" s="24">
        <f t="shared" si="4"/>
        <v>4162185.5870320937</v>
      </c>
      <c r="L33" s="24">
        <f t="shared" si="4"/>
        <v>4453538.5781243397</v>
      </c>
      <c r="M33" s="24">
        <f t="shared" si="4"/>
        <v>4765286.2785930447</v>
      </c>
      <c r="N33" s="24">
        <f t="shared" si="4"/>
        <v>5098856.3180945581</v>
      </c>
      <c r="O33" s="37">
        <f>SUM(E33:N33)</f>
        <v>38319089.433731049</v>
      </c>
    </row>
    <row r="34" spans="3:15" x14ac:dyDescent="0.25">
      <c r="C34" t="s">
        <v>38</v>
      </c>
      <c r="D34" s="24">
        <f>G21*-1</f>
        <v>-150000</v>
      </c>
      <c r="E34" s="24">
        <f>D34*(1+$D$22)</f>
        <v>-156000</v>
      </c>
      <c r="F34" s="24">
        <f>E34*(1+$D$22)</f>
        <v>-162240</v>
      </c>
      <c r="G34" s="24">
        <f>F34*(1+$D$22)</f>
        <v>-168729.60000000001</v>
      </c>
      <c r="H34" s="24">
        <f>G34*(1+$D$22)</f>
        <v>-175478.78400000001</v>
      </c>
      <c r="I34" s="24">
        <f>H34*(1+$D$22)</f>
        <v>-182497.93536000003</v>
      </c>
      <c r="J34" s="24">
        <f>I34*(1+$D$22)</f>
        <v>-189797.85277440003</v>
      </c>
      <c r="K34" s="24">
        <f>J34*(1+$D$22)</f>
        <v>-197389.76688537604</v>
      </c>
      <c r="L34" s="24">
        <f>K34*(1+$D$22)</f>
        <v>-205285.35756079108</v>
      </c>
      <c r="M34" s="24">
        <f>L34*(1+$D$22)</f>
        <v>-213496.77186322273</v>
      </c>
      <c r="N34" s="24">
        <f>M34*(1+$D$22)</f>
        <v>-222036.64273775165</v>
      </c>
      <c r="O34" s="37">
        <f>SUM(E34:N34)</f>
        <v>-1872952.7111815414</v>
      </c>
    </row>
    <row r="35" spans="3:15" s="3" customFormat="1" x14ac:dyDescent="0.25">
      <c r="C35" s="41" t="s">
        <v>39</v>
      </c>
      <c r="D35" s="62">
        <f>D33+D34</f>
        <v>2442000</v>
      </c>
      <c r="E35" s="62">
        <f t="shared" ref="E35:O35" si="5">E33+E34</f>
        <v>2617440</v>
      </c>
      <c r="F35" s="62">
        <f t="shared" si="5"/>
        <v>2805340.8000000007</v>
      </c>
      <c r="G35" s="62">
        <f t="shared" si="5"/>
        <v>3006581.8560000011</v>
      </c>
      <c r="H35" s="62">
        <f t="shared" si="5"/>
        <v>3222104.4739200012</v>
      </c>
      <c r="I35" s="62">
        <f t="shared" si="5"/>
        <v>3452916.1506144013</v>
      </c>
      <c r="J35" s="62">
        <f t="shared" si="5"/>
        <v>3700095.2192182103</v>
      </c>
      <c r="K35" s="62">
        <f t="shared" si="5"/>
        <v>3964795.8201467176</v>
      </c>
      <c r="L35" s="62">
        <f t="shared" si="5"/>
        <v>4248253.2205635486</v>
      </c>
      <c r="M35" s="62">
        <f t="shared" si="5"/>
        <v>4551789.5067298217</v>
      </c>
      <c r="N35" s="62">
        <f t="shared" si="5"/>
        <v>4876819.6753568063</v>
      </c>
      <c r="O35" s="63">
        <f t="shared" si="5"/>
        <v>36446136.722549506</v>
      </c>
    </row>
    <row r="36" spans="3:15" x14ac:dyDescent="0.25">
      <c r="C36" t="s">
        <v>40</v>
      </c>
      <c r="D36" s="24">
        <f>D33*$G$20*-1</f>
        <v>-155520</v>
      </c>
      <c r="E36" s="24">
        <f>E33*$G$20*-1</f>
        <v>-166406.39999999999</v>
      </c>
      <c r="F36" s="24">
        <f>F33*$G$20*-1</f>
        <v>-178054.84800000003</v>
      </c>
      <c r="G36" s="24">
        <f>G33*$G$20*-1</f>
        <v>-190518.68736000007</v>
      </c>
      <c r="H36" s="24">
        <f>H33*$G$20*-1</f>
        <v>-203854.99547520006</v>
      </c>
      <c r="I36" s="24">
        <f>I33*$G$20*-1</f>
        <v>-218124.84515846407</v>
      </c>
      <c r="J36" s="24">
        <f>J33*$G$20*-1</f>
        <v>-233393.58431955663</v>
      </c>
      <c r="K36" s="24">
        <f>K33*$G$20*-1</f>
        <v>-249731.13522192562</v>
      </c>
      <c r="L36" s="24">
        <f>L33*$G$20*-1</f>
        <v>-267212.31468746037</v>
      </c>
      <c r="M36" s="24">
        <f>M33*$G$20*-1</f>
        <v>-285917.17671558267</v>
      </c>
      <c r="N36" s="24">
        <f>N33*$G$20*-1</f>
        <v>-305931.37908567348</v>
      </c>
      <c r="O36" s="37">
        <f>SUM(E36:N36)</f>
        <v>-2299145.3660238627</v>
      </c>
    </row>
    <row r="37" spans="3:15" s="3" customFormat="1" x14ac:dyDescent="0.25">
      <c r="C37" s="41" t="s">
        <v>41</v>
      </c>
      <c r="D37" s="62">
        <f>D35+D36</f>
        <v>2286480</v>
      </c>
      <c r="E37" s="62">
        <f t="shared" ref="E37:O37" si="6">E35+E36</f>
        <v>2451033.6</v>
      </c>
      <c r="F37" s="62">
        <f t="shared" si="6"/>
        <v>2627285.9520000005</v>
      </c>
      <c r="G37" s="62">
        <f t="shared" si="6"/>
        <v>2816063.1686400012</v>
      </c>
      <c r="H37" s="62">
        <f t="shared" si="6"/>
        <v>3018249.4784448012</v>
      </c>
      <c r="I37" s="62">
        <f t="shared" si="6"/>
        <v>3234791.3054559371</v>
      </c>
      <c r="J37" s="62">
        <f t="shared" si="6"/>
        <v>3466701.6348986537</v>
      </c>
      <c r="K37" s="62">
        <f t="shared" si="6"/>
        <v>3715064.684924792</v>
      </c>
      <c r="L37" s="62">
        <f t="shared" si="6"/>
        <v>3981040.9058760884</v>
      </c>
      <c r="M37" s="62">
        <f t="shared" si="6"/>
        <v>4265872.3300142391</v>
      </c>
      <c r="N37" s="62">
        <f t="shared" si="6"/>
        <v>4570888.2962711323</v>
      </c>
      <c r="O37" s="64">
        <f t="shared" si="6"/>
        <v>34146991.356525645</v>
      </c>
    </row>
    <row r="40" spans="3:15" x14ac:dyDescent="0.25">
      <c r="C40" s="3" t="s">
        <v>47</v>
      </c>
    </row>
    <row r="41" spans="3:15" ht="17.25" x14ac:dyDescent="0.4">
      <c r="C41" s="28" t="s">
        <v>32</v>
      </c>
      <c r="D41" s="29">
        <f>D30</f>
        <v>45656</v>
      </c>
      <c r="E41" s="29">
        <f>EOMONTH(D41,12)</f>
        <v>46022</v>
      </c>
      <c r="F41" s="29">
        <f t="shared" ref="F41" si="7">EOMONTH(E41,12)</f>
        <v>46387</v>
      </c>
      <c r="G41" s="29">
        <f t="shared" ref="G41" si="8">EOMONTH(F41,12)</f>
        <v>46752</v>
      </c>
      <c r="H41" s="29">
        <f t="shared" ref="H41" si="9">EOMONTH(G41,12)</f>
        <v>47118</v>
      </c>
      <c r="I41" s="29">
        <f t="shared" ref="I41" si="10">EOMONTH(H41,12)</f>
        <v>47483</v>
      </c>
      <c r="J41" s="29">
        <f t="shared" ref="J41" si="11">EOMONTH(I41,12)</f>
        <v>47848</v>
      </c>
      <c r="K41" s="29">
        <f t="shared" ref="K41" si="12">EOMONTH(J41,12)</f>
        <v>48213</v>
      </c>
      <c r="L41" s="29">
        <f t="shared" ref="L41" si="13">EOMONTH(K41,12)</f>
        <v>48579</v>
      </c>
      <c r="M41" s="29">
        <f t="shared" ref="M41" si="14">EOMONTH(L41,12)</f>
        <v>48944</v>
      </c>
      <c r="N41" s="29">
        <f t="shared" ref="N41" si="15">EOMONTH(M41,12)</f>
        <v>49309</v>
      </c>
      <c r="O41" s="34" t="s">
        <v>59</v>
      </c>
    </row>
    <row r="42" spans="3:15" x14ac:dyDescent="0.25">
      <c r="C42" t="s">
        <v>13</v>
      </c>
      <c r="D42" s="24">
        <f>D11*-1</f>
        <v>-42301010.262985267</v>
      </c>
      <c r="O42" s="37">
        <f>SUM(D42:N42)</f>
        <v>-42301010.262985267</v>
      </c>
    </row>
    <row r="43" spans="3:15" x14ac:dyDescent="0.25">
      <c r="C43" t="s">
        <v>42</v>
      </c>
      <c r="D43" s="24">
        <f>D42*D12</f>
        <v>-2538060.6157791158</v>
      </c>
      <c r="O43" s="37">
        <f t="shared" ref="O43:O50" si="16">SUM(D43:N43)</f>
        <v>-2538060.6157791158</v>
      </c>
    </row>
    <row r="44" spans="3:15" x14ac:dyDescent="0.25">
      <c r="C44" t="s">
        <v>16</v>
      </c>
      <c r="D44" s="24">
        <f>D13*-1</f>
        <v>-10000</v>
      </c>
      <c r="O44" s="37">
        <f t="shared" si="16"/>
        <v>-10000</v>
      </c>
    </row>
    <row r="45" spans="3:15" x14ac:dyDescent="0.25">
      <c r="C45" t="s">
        <v>39</v>
      </c>
      <c r="E45" s="24">
        <f>E35*(E2&lt;=$G$17)</f>
        <v>2617440</v>
      </c>
      <c r="F45" s="24">
        <f>F35*(F2&lt;=$G$17)</f>
        <v>2805340.8000000007</v>
      </c>
      <c r="G45" s="24">
        <f>G35*(G2&lt;=$G$17)</f>
        <v>3006581.8560000011</v>
      </c>
      <c r="H45" s="24">
        <f>H35*(H2&lt;=$G$17)</f>
        <v>3222104.4739200012</v>
      </c>
      <c r="I45" s="24">
        <f>I35*(I2&lt;=$G$17)</f>
        <v>3452916.1506144013</v>
      </c>
      <c r="J45" s="24">
        <f>J35*(J2&lt;=$G$17)</f>
        <v>3700095.2192182103</v>
      </c>
      <c r="K45" s="24">
        <f>K35*(K2&lt;=$G$17)</f>
        <v>3964795.8201467176</v>
      </c>
      <c r="L45" s="24">
        <f>L35*(L2&lt;=$G$17)</f>
        <v>4248253.2205635486</v>
      </c>
      <c r="M45" s="24">
        <f>M35*(M2&lt;=$G$17)</f>
        <v>0</v>
      </c>
      <c r="N45" s="24">
        <f>N35*(N2&lt;=$G$17)</f>
        <v>0</v>
      </c>
      <c r="O45" s="37">
        <f t="shared" si="16"/>
        <v>27017527.540462881</v>
      </c>
    </row>
    <row r="46" spans="3:15" x14ac:dyDescent="0.25">
      <c r="C46" t="s">
        <v>43</v>
      </c>
      <c r="E46" s="24">
        <f>E36*(E2&lt;=$G$17)</f>
        <v>-166406.39999999999</v>
      </c>
      <c r="F46" s="24">
        <f>F36*(F2&lt;=$G$17)</f>
        <v>-178054.84800000003</v>
      </c>
      <c r="G46" s="24">
        <f>G36*(G2&lt;=$G$17)</f>
        <v>-190518.68736000007</v>
      </c>
      <c r="H46" s="24">
        <f>H36*(H2&lt;=$G$17)</f>
        <v>-203854.99547520006</v>
      </c>
      <c r="I46" s="24">
        <f>I36*(I2&lt;=$G$17)</f>
        <v>-218124.84515846407</v>
      </c>
      <c r="J46" s="24">
        <f>J36*(J2&lt;=$G$17)</f>
        <v>-233393.58431955663</v>
      </c>
      <c r="K46" s="24">
        <f>K36*(K2&lt;=$G$17)</f>
        <v>-249731.13522192562</v>
      </c>
      <c r="L46" s="24">
        <f>L36*(L2&lt;=$G$17)</f>
        <v>-267212.31468746037</v>
      </c>
      <c r="M46" s="24">
        <f>M36*(M2&lt;=$G$17)</f>
        <v>0</v>
      </c>
      <c r="N46" s="24">
        <f>N36*(N2&lt;=$G$17)</f>
        <v>0</v>
      </c>
      <c r="O46" s="37">
        <f t="shared" si="16"/>
        <v>-1707296.8102226069</v>
      </c>
    </row>
    <row r="47" spans="3:15" x14ac:dyDescent="0.25">
      <c r="C47" t="s">
        <v>41</v>
      </c>
      <c r="E47" s="24">
        <f>E45+E46</f>
        <v>2451033.6</v>
      </c>
      <c r="F47" s="24">
        <f t="shared" ref="F47:N47" si="17">F45+F46</f>
        <v>2627285.9520000005</v>
      </c>
      <c r="G47" s="24">
        <f t="shared" si="17"/>
        <v>2816063.1686400012</v>
      </c>
      <c r="H47" s="24">
        <f t="shared" si="17"/>
        <v>3018249.4784448012</v>
      </c>
      <c r="I47" s="24">
        <f t="shared" si="17"/>
        <v>3234791.3054559371</v>
      </c>
      <c r="J47" s="24">
        <f t="shared" si="17"/>
        <v>3466701.6348986537</v>
      </c>
      <c r="K47" s="24">
        <f t="shared" si="17"/>
        <v>3715064.684924792</v>
      </c>
      <c r="L47" s="24">
        <f t="shared" si="17"/>
        <v>3981040.9058760884</v>
      </c>
      <c r="M47" s="24">
        <f t="shared" si="17"/>
        <v>0</v>
      </c>
      <c r="N47" s="24">
        <f t="shared" si="17"/>
        <v>0</v>
      </c>
      <c r="O47" s="37">
        <f t="shared" si="16"/>
        <v>25310230.730240278</v>
      </c>
    </row>
    <row r="48" spans="3:15" x14ac:dyDescent="0.25">
      <c r="C48" t="s">
        <v>70</v>
      </c>
      <c r="E48" s="24">
        <f>IF(E2=$G$17,E45/$G$15,0)</f>
        <v>0</v>
      </c>
      <c r="F48" s="24">
        <f>IF(F2=$G$17,F45/$G$15,0)</f>
        <v>0</v>
      </c>
      <c r="G48" s="24">
        <f>IF(G2=$G$17,G45/$G$15,0)</f>
        <v>0</v>
      </c>
      <c r="H48" s="24">
        <f>IF(H2=$G$17,H45/$G$15,0)</f>
        <v>0</v>
      </c>
      <c r="I48" s="24">
        <f>IF(I2=$G$17,I45/$G$15,0)</f>
        <v>0</v>
      </c>
      <c r="J48" s="24">
        <f>IF(J2=$G$17,J45/$G$15,0)</f>
        <v>0</v>
      </c>
      <c r="K48" s="24">
        <f>IF(K2=$G$17,K45/$G$15,0)</f>
        <v>0</v>
      </c>
      <c r="L48" s="24">
        <f>IF(L2=$G$17,L45/$G$15,0)</f>
        <v>94405627.123634413</v>
      </c>
      <c r="M48" s="24">
        <f>IF(M2=$G$17,M45/$G$15,0)</f>
        <v>0</v>
      </c>
      <c r="N48" s="24">
        <f>IF(N2=$G$17,N45/$G$15,0)</f>
        <v>0</v>
      </c>
      <c r="O48" s="37">
        <f t="shared" si="16"/>
        <v>94405627.123634413</v>
      </c>
    </row>
    <row r="49" spans="3:15" x14ac:dyDescent="0.25">
      <c r="C49" t="s">
        <v>56</v>
      </c>
      <c r="E49" s="24">
        <f t="shared" ref="E49:H49" si="18">E48*$G$16*-1</f>
        <v>0</v>
      </c>
      <c r="F49" s="24">
        <f t="shared" si="18"/>
        <v>0</v>
      </c>
      <c r="G49" s="24">
        <f t="shared" si="18"/>
        <v>0</v>
      </c>
      <c r="H49" s="24">
        <f t="shared" si="18"/>
        <v>0</v>
      </c>
      <c r="I49" s="24">
        <f>I48*$G$16*-1</f>
        <v>0</v>
      </c>
      <c r="J49" s="24">
        <f t="shared" ref="J49:N49" si="19">J48*$G$16*-1</f>
        <v>0</v>
      </c>
      <c r="K49" s="24">
        <f t="shared" si="19"/>
        <v>0</v>
      </c>
      <c r="L49" s="24">
        <f t="shared" si="19"/>
        <v>-1888112.5424726882</v>
      </c>
      <c r="M49" s="24">
        <f>M48*$G$16*-1</f>
        <v>0</v>
      </c>
      <c r="N49" s="24">
        <f t="shared" si="19"/>
        <v>0</v>
      </c>
      <c r="O49" s="37">
        <f t="shared" si="16"/>
        <v>-1888112.5424726882</v>
      </c>
    </row>
    <row r="50" spans="3:15" x14ac:dyDescent="0.25">
      <c r="C50" s="27" t="s">
        <v>44</v>
      </c>
      <c r="D50" s="65">
        <f>D42+D43+D44+D47+D48</f>
        <v>-44849070.878764383</v>
      </c>
      <c r="E50" s="65">
        <f>E42+E43+E44+E47+E48</f>
        <v>2451033.6</v>
      </c>
      <c r="F50" s="65">
        <f t="shared" ref="F50:N50" si="20">F42+F43+F44+F47+F48</f>
        <v>2627285.9520000005</v>
      </c>
      <c r="G50" s="65">
        <f t="shared" si="20"/>
        <v>2816063.1686400012</v>
      </c>
      <c r="H50" s="65">
        <f t="shared" si="20"/>
        <v>3018249.4784448012</v>
      </c>
      <c r="I50" s="65">
        <f t="shared" si="20"/>
        <v>3234791.3054559371</v>
      </c>
      <c r="J50" s="65">
        <f t="shared" si="20"/>
        <v>3466701.6348986537</v>
      </c>
      <c r="K50" s="65">
        <f t="shared" si="20"/>
        <v>3715064.684924792</v>
      </c>
      <c r="L50" s="65">
        <f t="shared" si="20"/>
        <v>98386668.029510498</v>
      </c>
      <c r="M50" s="65">
        <f t="shared" si="20"/>
        <v>0</v>
      </c>
      <c r="N50" s="65">
        <f t="shared" si="20"/>
        <v>0</v>
      </c>
      <c r="O50" s="66">
        <f t="shared" si="16"/>
        <v>74866786.975110307</v>
      </c>
    </row>
    <row r="52" spans="3:15" x14ac:dyDescent="0.25">
      <c r="C52" s="7" t="s">
        <v>45</v>
      </c>
      <c r="D52" s="1"/>
      <c r="E52" s="32">
        <f>XIRR(D50:N50,D41:N41)</f>
        <v>0.14799590706825258</v>
      </c>
    </row>
    <row r="53" spans="3:15" x14ac:dyDescent="0.25">
      <c r="C53" s="5" t="s">
        <v>46</v>
      </c>
      <c r="D53" s="67">
        <f>SUM(D50:N50)</f>
        <v>74866786.975110307</v>
      </c>
      <c r="E53" s="33">
        <f>SUMIF(D50:N50,"&gt;0")/SUMIF(D50:N50,"&lt;0")*-1</f>
        <v>2.6693051942478263</v>
      </c>
    </row>
    <row r="56" spans="3:15" x14ac:dyDescent="0.25">
      <c r="C56" s="3" t="s">
        <v>49</v>
      </c>
    </row>
    <row r="57" spans="3:15" ht="17.25" x14ac:dyDescent="0.4">
      <c r="C57" s="28" t="s">
        <v>32</v>
      </c>
      <c r="D57" s="29">
        <f>D41</f>
        <v>45656</v>
      </c>
      <c r="E57" s="29">
        <f>EOMONTH(D57,12)</f>
        <v>46022</v>
      </c>
      <c r="F57" s="29">
        <f t="shared" ref="F57" si="21">EOMONTH(E57,12)</f>
        <v>46387</v>
      </c>
      <c r="G57" s="29">
        <f t="shared" ref="G57" si="22">EOMONTH(F57,12)</f>
        <v>46752</v>
      </c>
      <c r="H57" s="29">
        <f t="shared" ref="H57" si="23">EOMONTH(G57,12)</f>
        <v>47118</v>
      </c>
      <c r="I57" s="29">
        <f t="shared" ref="I57" si="24">EOMONTH(H57,12)</f>
        <v>47483</v>
      </c>
      <c r="J57" s="29">
        <f t="shared" ref="J57" si="25">EOMONTH(I57,12)</f>
        <v>47848</v>
      </c>
      <c r="K57" s="29">
        <f t="shared" ref="K57" si="26">EOMONTH(J57,12)</f>
        <v>48213</v>
      </c>
      <c r="L57" s="29">
        <f t="shared" ref="L57" si="27">EOMONTH(K57,12)</f>
        <v>48579</v>
      </c>
      <c r="M57" s="29">
        <f t="shared" ref="M57" si="28">EOMONTH(L57,12)</f>
        <v>48944</v>
      </c>
      <c r="N57" s="29">
        <f t="shared" ref="N57" si="29">EOMONTH(M57,12)</f>
        <v>49309</v>
      </c>
      <c r="O57" s="34" t="s">
        <v>59</v>
      </c>
    </row>
    <row r="58" spans="3:15" x14ac:dyDescent="0.25">
      <c r="C58" t="s">
        <v>13</v>
      </c>
      <c r="D58" s="24">
        <f>D42</f>
        <v>-42301010.262985267</v>
      </c>
      <c r="O58" s="37">
        <f>SUM(D58:N58)</f>
        <v>-42301010.262985267</v>
      </c>
    </row>
    <row r="59" spans="3:15" x14ac:dyDescent="0.25">
      <c r="C59" t="s">
        <v>54</v>
      </c>
      <c r="D59" s="24">
        <f>(D43+D44)</f>
        <v>-2548060.6157791158</v>
      </c>
      <c r="O59" s="37">
        <f t="shared" ref="O59:O65" si="30">SUM(D59:N59)</f>
        <v>-2548060.6157791158</v>
      </c>
    </row>
    <row r="60" spans="3:15" x14ac:dyDescent="0.25">
      <c r="C60" t="s">
        <v>41</v>
      </c>
      <c r="E60" s="24">
        <f>E47</f>
        <v>2451033.6</v>
      </c>
      <c r="F60" s="24">
        <f t="shared" ref="F60:N60" si="31">F47</f>
        <v>2627285.9520000005</v>
      </c>
      <c r="G60" s="24">
        <f t="shared" si="31"/>
        <v>2816063.1686400012</v>
      </c>
      <c r="H60" s="24">
        <f t="shared" si="31"/>
        <v>3018249.4784448012</v>
      </c>
      <c r="I60" s="24">
        <f t="shared" si="31"/>
        <v>3234791.3054559371</v>
      </c>
      <c r="J60" s="24">
        <f t="shared" si="31"/>
        <v>3466701.6348986537</v>
      </c>
      <c r="K60" s="24">
        <f t="shared" si="31"/>
        <v>3715064.684924792</v>
      </c>
      <c r="L60" s="24">
        <f t="shared" si="31"/>
        <v>3981040.9058760884</v>
      </c>
      <c r="M60" s="24">
        <f t="shared" si="31"/>
        <v>0</v>
      </c>
      <c r="N60" s="24">
        <f t="shared" si="31"/>
        <v>0</v>
      </c>
      <c r="O60" s="37">
        <f t="shared" si="30"/>
        <v>25310230.730240278</v>
      </c>
    </row>
    <row r="61" spans="3:15" x14ac:dyDescent="0.25">
      <c r="C61" t="s">
        <v>51</v>
      </c>
      <c r="D61" s="24">
        <f>D74</f>
        <v>31394349.615135066</v>
      </c>
      <c r="E61" s="24">
        <f t="shared" ref="E61:N61" si="32">E74</f>
        <v>0</v>
      </c>
      <c r="F61" s="24">
        <f t="shared" si="32"/>
        <v>0</v>
      </c>
      <c r="G61" s="24">
        <f t="shared" si="32"/>
        <v>0</v>
      </c>
      <c r="H61" s="24">
        <f t="shared" si="32"/>
        <v>0</v>
      </c>
      <c r="I61" s="24">
        <f t="shared" si="32"/>
        <v>0</v>
      </c>
      <c r="J61" s="24">
        <f t="shared" si="32"/>
        <v>0</v>
      </c>
      <c r="K61" s="24">
        <f t="shared" si="32"/>
        <v>0</v>
      </c>
      <c r="L61" s="24">
        <f t="shared" si="32"/>
        <v>0</v>
      </c>
      <c r="M61" s="24">
        <f t="shared" si="32"/>
        <v>0</v>
      </c>
      <c r="N61" s="24">
        <f t="shared" si="32"/>
        <v>0</v>
      </c>
      <c r="O61" s="37">
        <f t="shared" si="30"/>
        <v>31394349.615135066</v>
      </c>
    </row>
    <row r="62" spans="3:15" x14ac:dyDescent="0.25">
      <c r="C62" t="s">
        <v>22</v>
      </c>
      <c r="E62" s="24">
        <f>E76*-1</f>
        <v>-3139434.9615135067</v>
      </c>
      <c r="F62" s="24">
        <f t="shared" ref="F62:N62" si="33">F76*-1</f>
        <v>-3139434.9615135067</v>
      </c>
      <c r="G62" s="24">
        <f t="shared" si="33"/>
        <v>-3139434.9615135067</v>
      </c>
      <c r="H62" s="24">
        <f t="shared" si="33"/>
        <v>-3139434.9615135067</v>
      </c>
      <c r="I62" s="24">
        <f t="shared" si="33"/>
        <v>-3139434.9615135067</v>
      </c>
      <c r="J62" s="24">
        <f t="shared" si="33"/>
        <v>-3139434.9615135067</v>
      </c>
      <c r="K62" s="24">
        <f t="shared" si="33"/>
        <v>-3139434.9615135067</v>
      </c>
      <c r="L62" s="24">
        <f t="shared" si="33"/>
        <v>-3139434.9615135067</v>
      </c>
      <c r="M62" s="24">
        <f t="shared" si="33"/>
        <v>0</v>
      </c>
      <c r="N62" s="24">
        <f t="shared" si="33"/>
        <v>0</v>
      </c>
      <c r="O62" s="37">
        <f t="shared" si="30"/>
        <v>-25115479.692108057</v>
      </c>
    </row>
    <row r="63" spans="3:15" x14ac:dyDescent="0.25">
      <c r="C63" t="s">
        <v>55</v>
      </c>
      <c r="E63" s="24">
        <f>IF(E2=CFs!$G$17,CFs!E77,0)</f>
        <v>0</v>
      </c>
      <c r="F63" s="24">
        <f>IF(F2=CFs!$G$17,CFs!F77,0)</f>
        <v>0</v>
      </c>
      <c r="G63" s="24">
        <f>IF(G2=CFs!$G$17,CFs!G77,0)</f>
        <v>0</v>
      </c>
      <c r="H63" s="24">
        <f>IF(H2=CFs!$G$17,CFs!H77,0)</f>
        <v>0</v>
      </c>
      <c r="I63" s="24">
        <f>IF(I2=CFs!$G$17,CFs!I77,0)</f>
        <v>0</v>
      </c>
      <c r="J63" s="24">
        <f>IF(J2=CFs!$G$17,CFs!J77,0)</f>
        <v>0</v>
      </c>
      <c r="K63" s="24">
        <f>IF(K2=CFs!$G$17,CFs!K77,0)</f>
        <v>0</v>
      </c>
      <c r="L63" s="24">
        <f>IF(L2=CFs!$G$17,CFs!L77,0)</f>
        <v>-31394349.615135066</v>
      </c>
      <c r="M63" s="24">
        <f>IF(M2=CFs!$G$17,CFs!M77,0)</f>
        <v>0</v>
      </c>
      <c r="N63" s="24">
        <f>IF(N2=CFs!$G$17,CFs!N77,0)</f>
        <v>0</v>
      </c>
      <c r="O63" s="37">
        <f t="shared" si="30"/>
        <v>-31394349.615135066</v>
      </c>
    </row>
    <row r="64" spans="3:15" x14ac:dyDescent="0.25">
      <c r="C64" t="s">
        <v>57</v>
      </c>
      <c r="D64" s="24">
        <f>D48+D49</f>
        <v>0</v>
      </c>
      <c r="E64" s="24">
        <f t="shared" ref="E64:N64" si="34">E48+E49</f>
        <v>0</v>
      </c>
      <c r="F64" s="24">
        <f t="shared" si="34"/>
        <v>0</v>
      </c>
      <c r="G64" s="24">
        <f t="shared" si="34"/>
        <v>0</v>
      </c>
      <c r="H64" s="24">
        <f t="shared" si="34"/>
        <v>0</v>
      </c>
      <c r="I64" s="24">
        <f t="shared" si="34"/>
        <v>0</v>
      </c>
      <c r="J64" s="24">
        <f t="shared" si="34"/>
        <v>0</v>
      </c>
      <c r="K64" s="24">
        <f t="shared" si="34"/>
        <v>0</v>
      </c>
      <c r="L64" s="24">
        <f t="shared" si="34"/>
        <v>92517514.581161723</v>
      </c>
      <c r="M64" s="24">
        <f t="shared" si="34"/>
        <v>0</v>
      </c>
      <c r="N64" s="24">
        <f t="shared" si="34"/>
        <v>0</v>
      </c>
      <c r="O64" s="37">
        <f t="shared" si="30"/>
        <v>92517514.581161723</v>
      </c>
    </row>
    <row r="65" spans="3:15" x14ac:dyDescent="0.25">
      <c r="C65" s="27" t="s">
        <v>58</v>
      </c>
      <c r="D65" s="65">
        <f>D58+D59+D60+D61+D62+D63+D64</f>
        <v>-13454721.263629317</v>
      </c>
      <c r="E65" s="65">
        <f t="shared" ref="E65:N65" si="35">E58+E59+E60+E61+E62+E63+E64</f>
        <v>-688401.36151350662</v>
      </c>
      <c r="F65" s="65">
        <f t="shared" si="35"/>
        <v>-512149.0095135062</v>
      </c>
      <c r="G65" s="65">
        <f t="shared" si="35"/>
        <v>-323371.7928735055</v>
      </c>
      <c r="H65" s="65">
        <f t="shared" si="35"/>
        <v>-121185.48306870554</v>
      </c>
      <c r="I65" s="65">
        <f t="shared" si="35"/>
        <v>95356.343942430336</v>
      </c>
      <c r="J65" s="65">
        <f t="shared" si="35"/>
        <v>327266.67338514701</v>
      </c>
      <c r="K65" s="65">
        <f t="shared" si="35"/>
        <v>575629.72341128532</v>
      </c>
      <c r="L65" s="65">
        <f t="shared" si="35"/>
        <v>61964770.910389237</v>
      </c>
      <c r="M65" s="65">
        <f t="shared" si="35"/>
        <v>0</v>
      </c>
      <c r="N65" s="65">
        <f t="shared" si="35"/>
        <v>0</v>
      </c>
      <c r="O65" s="66">
        <f t="shared" si="30"/>
        <v>47863194.740529552</v>
      </c>
    </row>
    <row r="66" spans="3:15" x14ac:dyDescent="0.25">
      <c r="E66" s="24"/>
      <c r="F66" s="24"/>
      <c r="G66" s="24"/>
      <c r="H66" s="24"/>
      <c r="I66" s="24"/>
      <c r="J66" s="24"/>
      <c r="K66" s="24"/>
      <c r="L66" s="24"/>
      <c r="M66" s="24"/>
      <c r="N66" s="24"/>
      <c r="O66" s="24"/>
    </row>
    <row r="67" spans="3:15" x14ac:dyDescent="0.25">
      <c r="C67" s="7" t="s">
        <v>45</v>
      </c>
      <c r="D67" s="1"/>
      <c r="E67" s="69">
        <f>XIRR(D65:N65,D57:N57)</f>
        <v>0.20071801543235779</v>
      </c>
    </row>
    <row r="68" spans="3:15" x14ac:dyDescent="0.25">
      <c r="C68" s="5" t="s">
        <v>46</v>
      </c>
      <c r="D68" s="68">
        <f>SUM(D65:N65)</f>
        <v>47863194.740529552</v>
      </c>
      <c r="E68" s="33">
        <f>SUMIF(D65:N65,"&gt;0")/SUMIF(D65:N65,"&lt;0")*-1</f>
        <v>4.1697839110570625</v>
      </c>
    </row>
    <row r="72" spans="3:15" ht="15.75" thickBot="1" x14ac:dyDescent="0.3"/>
    <row r="73" spans="3:15" x14ac:dyDescent="0.25">
      <c r="C73" s="49" t="s">
        <v>50</v>
      </c>
      <c r="D73" s="50"/>
      <c r="E73" s="50"/>
      <c r="F73" s="50"/>
      <c r="G73" s="50"/>
      <c r="H73" s="50"/>
      <c r="I73" s="50"/>
      <c r="J73" s="50"/>
      <c r="K73" s="50"/>
      <c r="L73" s="50"/>
      <c r="M73" s="50"/>
      <c r="N73" s="51"/>
    </row>
    <row r="74" spans="3:15" x14ac:dyDescent="0.25">
      <c r="C74" s="42" t="s">
        <v>51</v>
      </c>
      <c r="D74" s="24">
        <f>(D42+D43+D44)*G11*-1</f>
        <v>31394349.615135066</v>
      </c>
      <c r="E74" s="43"/>
      <c r="N74" s="44"/>
    </row>
    <row r="75" spans="3:15" x14ac:dyDescent="0.25">
      <c r="C75" s="42" t="s">
        <v>52</v>
      </c>
      <c r="D75" s="24">
        <f>D74</f>
        <v>31394349.615135066</v>
      </c>
      <c r="E75" s="24">
        <f>E74+D78</f>
        <v>31394349.615135066</v>
      </c>
      <c r="F75" s="24">
        <f t="shared" ref="F75:N75" si="36">F74+E78</f>
        <v>31394349.615135066</v>
      </c>
      <c r="G75" s="24">
        <f t="shared" si="36"/>
        <v>31394349.615135066</v>
      </c>
      <c r="H75" s="24">
        <f t="shared" si="36"/>
        <v>31394349.615135066</v>
      </c>
      <c r="I75" s="24">
        <f t="shared" si="36"/>
        <v>31394349.615135066</v>
      </c>
      <c r="J75" s="24">
        <f t="shared" si="36"/>
        <v>31394349.615135066</v>
      </c>
      <c r="K75" s="24">
        <f t="shared" si="36"/>
        <v>31394349.615135066</v>
      </c>
      <c r="L75" s="24">
        <f t="shared" si="36"/>
        <v>31394349.615135066</v>
      </c>
      <c r="M75" s="24">
        <f t="shared" si="36"/>
        <v>0</v>
      </c>
      <c r="N75" s="45">
        <f t="shared" si="36"/>
        <v>0</v>
      </c>
      <c r="O75" s="24"/>
    </row>
    <row r="76" spans="3:15" x14ac:dyDescent="0.25">
      <c r="C76" s="42" t="s">
        <v>22</v>
      </c>
      <c r="D76" s="24">
        <v>0</v>
      </c>
      <c r="E76" s="24">
        <f>E75*$G$12</f>
        <v>3139434.9615135067</v>
      </c>
      <c r="F76" s="24">
        <f t="shared" ref="F76:N76" si="37">F75*$G$12</f>
        <v>3139434.9615135067</v>
      </c>
      <c r="G76" s="24">
        <f t="shared" si="37"/>
        <v>3139434.9615135067</v>
      </c>
      <c r="H76" s="24">
        <f t="shared" si="37"/>
        <v>3139434.9615135067</v>
      </c>
      <c r="I76" s="24">
        <f t="shared" si="37"/>
        <v>3139434.9615135067</v>
      </c>
      <c r="J76" s="24">
        <f t="shared" si="37"/>
        <v>3139434.9615135067</v>
      </c>
      <c r="K76" s="24">
        <f t="shared" si="37"/>
        <v>3139434.9615135067</v>
      </c>
      <c r="L76" s="24">
        <f t="shared" si="37"/>
        <v>3139434.9615135067</v>
      </c>
      <c r="M76" s="24">
        <f t="shared" si="37"/>
        <v>0</v>
      </c>
      <c r="N76" s="45">
        <f t="shared" si="37"/>
        <v>0</v>
      </c>
      <c r="O76" s="24"/>
    </row>
    <row r="77" spans="3:15" x14ac:dyDescent="0.25">
      <c r="C77" s="42" t="s">
        <v>71</v>
      </c>
      <c r="D77" s="24">
        <f>IF(D2=$G$17,D75*-1,0)</f>
        <v>0</v>
      </c>
      <c r="E77" s="24">
        <f>IF(E2=$G$17,E75*-1,0)</f>
        <v>0</v>
      </c>
      <c r="F77" s="24">
        <f>IF(F2=$G$17,F75*-1,0)</f>
        <v>0</v>
      </c>
      <c r="G77" s="24">
        <f>IF(G2=$G$17,G75*-1,0)</f>
        <v>0</v>
      </c>
      <c r="H77" s="24">
        <f>IF(H2=$G$17,H75*-1,0)</f>
        <v>0</v>
      </c>
      <c r="I77" s="24">
        <f>IF(I2=$G$17,I75*-1,0)</f>
        <v>0</v>
      </c>
      <c r="J77" s="24">
        <f>IF(J2=$G$17,J75*-1,0)</f>
        <v>0</v>
      </c>
      <c r="K77" s="24">
        <f>IF(K2=$G$17,K75*-1,0)</f>
        <v>0</v>
      </c>
      <c r="L77" s="24">
        <f>IF(L2=$G$17,L75*-1,0)</f>
        <v>-31394349.615135066</v>
      </c>
      <c r="M77" s="24">
        <f>IF(M2=$G$17,M75*-1,0)</f>
        <v>0</v>
      </c>
      <c r="N77" s="45">
        <f>IF(N2=$G$17,N75*-1,0)</f>
        <v>0</v>
      </c>
      <c r="O77" s="24"/>
    </row>
    <row r="78" spans="3:15" ht="15.75" thickBot="1" x14ac:dyDescent="0.3">
      <c r="C78" s="46" t="s">
        <v>53</v>
      </c>
      <c r="D78" s="47">
        <f>D75+D77</f>
        <v>31394349.615135066</v>
      </c>
      <c r="E78" s="47">
        <f>E75+E77</f>
        <v>31394349.615135066</v>
      </c>
      <c r="F78" s="47">
        <f t="shared" ref="F78:N78" si="38">F75+F77</f>
        <v>31394349.615135066</v>
      </c>
      <c r="G78" s="47">
        <f t="shared" si="38"/>
        <v>31394349.615135066</v>
      </c>
      <c r="H78" s="47">
        <f t="shared" si="38"/>
        <v>31394349.615135066</v>
      </c>
      <c r="I78" s="47">
        <f t="shared" si="38"/>
        <v>31394349.615135066</v>
      </c>
      <c r="J78" s="47">
        <f t="shared" si="38"/>
        <v>31394349.615135066</v>
      </c>
      <c r="K78" s="47">
        <f t="shared" si="38"/>
        <v>31394349.615135066</v>
      </c>
      <c r="L78" s="47">
        <f t="shared" si="38"/>
        <v>0</v>
      </c>
      <c r="M78" s="47">
        <f t="shared" si="38"/>
        <v>0</v>
      </c>
      <c r="N78" s="48">
        <f t="shared" si="38"/>
        <v>0</v>
      </c>
      <c r="O78" s="24"/>
    </row>
  </sheetData>
  <pageMargins left="0.11811023622047245" right="0.11811023622047245" top="7.874015748031496E-2" bottom="7.874015748031496E-2" header="0.31496062992125984" footer="0.31496062992125984"/>
  <pageSetup scale="42" orientation="portrait" horizontalDpi="300" verticalDpi="300" r:id="rId1"/>
  <headerFooter>
    <oddFooter>&amp;L&amp;"Futura Bk BT,Book"&amp;8Proprietary Training Materials&amp;C&amp;"Playfair Display,Regular"&amp;8REIA
The Real Estate Investment Academy&amp;R&amp;8&amp;N</oddFooter>
  </headerFooter>
  <ignoredErrors>
    <ignoredError sqref="D43 C30:N30 C29:O29 O30:O37 C32:N32 D31:N31 C34:N37 C33 E33:N33"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DISCLAIMER</vt:lpstr>
      <vt:lpstr>TASK</vt:lpstr>
      <vt:lpstr>CFs</vt:lpstr>
      <vt:lpstr>CFs!Print_Area</vt:lpstr>
      <vt:lpstr>DISCLAIMER!Print_Area</vt:lpstr>
      <vt:lpstr>TASK!Print_Area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Steffen Kluners</dc:creator>
  <cp:lastModifiedBy>Pragya Verma</cp:lastModifiedBy>
  <cp:lastPrinted>2025-09-25T16:56:29Z</cp:lastPrinted>
  <dcterms:created xsi:type="dcterms:W3CDTF">2022-02-12T15:44:46Z</dcterms:created>
  <dcterms:modified xsi:type="dcterms:W3CDTF">2025-09-25T17:24:43Z</dcterms:modified>
</cp:coreProperties>
</file>