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iko0\Downloads\"/>
    </mc:Choice>
  </mc:AlternateContent>
  <xr:revisionPtr revIDLastSave="0" documentId="13_ncr:1_{521C7B8B-BA16-48DC-AD91-22F98387FF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CF (Actual+Projection)" sheetId="2" r:id="rId1"/>
  </sheets>
  <definedNames>
    <definedName name="Analysis_Period">#REF!</definedName>
    <definedName name="Current_Year_List">OFFSET(#REF!,0,0,1,Analysis_Period+2)</definedName>
    <definedName name="NOI_Combined">OFFSET(#REF!,0,0,1,Analysis_Period)</definedName>
    <definedName name="NOI_Forecast">OFFSET(#REF!,0,0,1,Analysis_Period)</definedName>
    <definedName name="Range_Period">OFFSET(#REF!,0,0,1,Analysis_Period)</definedName>
  </definedNames>
  <calcPr calcId="191029" iterate="1" iterateCount="1000"/>
</workbook>
</file>

<file path=xl/calcChain.xml><?xml version="1.0" encoding="utf-8"?>
<calcChain xmlns="http://schemas.openxmlformats.org/spreadsheetml/2006/main">
  <c r="F11" i="2" l="1"/>
  <c r="B62" i="2"/>
  <c r="B58" i="2"/>
  <c r="B53" i="2"/>
  <c r="B49" i="2"/>
  <c r="B42" i="2"/>
  <c r="B39" i="2"/>
  <c r="B36" i="2"/>
  <c r="U12" i="2"/>
  <c r="U6" i="2"/>
  <c r="F28" i="2"/>
  <c r="J54" i="2"/>
  <c r="L47" i="2"/>
  <c r="K47" i="2"/>
  <c r="G46" i="2"/>
  <c r="J41" i="2"/>
  <c r="J55" i="2" s="1"/>
  <c r="L35" i="2"/>
  <c r="M35" i="2" s="1"/>
  <c r="N35" i="2" s="1"/>
  <c r="O35" i="2" s="1"/>
  <c r="P35" i="2" s="1"/>
  <c r="Q35" i="2" s="1"/>
  <c r="R35" i="2" s="1"/>
  <c r="S35" i="2" s="1"/>
  <c r="T35" i="2" s="1"/>
  <c r="U35" i="2" s="1"/>
  <c r="K35" i="2"/>
  <c r="H25" i="2"/>
  <c r="J24" i="2"/>
  <c r="J25" i="2" s="1"/>
  <c r="H24" i="2"/>
  <c r="H19" i="2"/>
  <c r="H18" i="2"/>
  <c r="J18" i="2" s="1"/>
  <c r="J51" i="2" s="1"/>
  <c r="K17" i="2"/>
  <c r="K50" i="2" s="1"/>
  <c r="J17" i="2"/>
  <c r="J50" i="2" s="1"/>
  <c r="L14" i="2"/>
  <c r="L17" i="2" s="1"/>
  <c r="L50" i="2" s="1"/>
  <c r="K14" i="2"/>
  <c r="K22" i="2" s="1"/>
  <c r="K24" i="2" s="1"/>
  <c r="K55" i="2" s="1"/>
  <c r="O12" i="2"/>
  <c r="O11" i="2"/>
  <c r="O9" i="2"/>
  <c r="O8" i="2"/>
  <c r="O6" i="2"/>
  <c r="O5" i="2"/>
  <c r="M14" i="2" l="1"/>
  <c r="J52" i="2"/>
  <c r="K54" i="2"/>
  <c r="J56" i="2"/>
  <c r="K56" i="2"/>
  <c r="K57" i="2" s="1"/>
  <c r="K19" i="2"/>
  <c r="L22" i="2"/>
  <c r="L54" i="2" s="1"/>
  <c r="K25" i="2"/>
  <c r="K26" i="2" s="1"/>
  <c r="M17" i="2"/>
  <c r="K18" i="2"/>
  <c r="K51" i="2" s="1"/>
  <c r="K52" i="2" s="1"/>
  <c r="M22" i="2"/>
  <c r="L18" i="2"/>
  <c r="L19" i="2" s="1"/>
  <c r="M47" i="2"/>
  <c r="M18" i="2"/>
  <c r="N14" i="2"/>
  <c r="J19" i="2"/>
  <c r="M19" i="2" l="1"/>
  <c r="N47" i="2"/>
  <c r="M51" i="2"/>
  <c r="M54" i="2"/>
  <c r="M50" i="2"/>
  <c r="N18" i="2"/>
  <c r="N22" i="2"/>
  <c r="N17" i="2"/>
  <c r="O14" i="2"/>
  <c r="L51" i="2"/>
  <c r="L52" i="2" s="1"/>
  <c r="M24" i="2"/>
  <c r="M25" i="2" s="1"/>
  <c r="M26" i="2" s="1"/>
  <c r="L24" i="2"/>
  <c r="L55" i="2" s="1"/>
  <c r="L56" i="2" s="1"/>
  <c r="L57" i="2" s="1"/>
  <c r="N19" i="2" l="1"/>
  <c r="N24" i="2"/>
  <c r="N25" i="2" s="1"/>
  <c r="N26" i="2" s="1"/>
  <c r="N51" i="2"/>
  <c r="N54" i="2"/>
  <c r="N50" i="2"/>
  <c r="O47" i="2"/>
  <c r="M55" i="2"/>
  <c r="M56" i="2" s="1"/>
  <c r="M57" i="2" s="1"/>
  <c r="L25" i="2"/>
  <c r="L26" i="2" s="1"/>
  <c r="O22" i="2"/>
  <c r="O17" i="2"/>
  <c r="P14" i="2"/>
  <c r="O18" i="2"/>
  <c r="M52" i="2"/>
  <c r="O24" i="2" l="1"/>
  <c r="O25" i="2" s="1"/>
  <c r="O26" i="2" s="1"/>
  <c r="O51" i="2"/>
  <c r="O54" i="2"/>
  <c r="O50" i="2"/>
  <c r="P47" i="2"/>
  <c r="P22" i="2"/>
  <c r="P17" i="2"/>
  <c r="Q14" i="2"/>
  <c r="P18" i="2"/>
  <c r="N55" i="2"/>
  <c r="N56" i="2" s="1"/>
  <c r="N57" i="2" s="1"/>
  <c r="O19" i="2"/>
  <c r="N52" i="2"/>
  <c r="O55" i="2" l="1"/>
  <c r="O56" i="2" s="1"/>
  <c r="O57" i="2" s="1"/>
  <c r="O52" i="2"/>
  <c r="P19" i="2"/>
  <c r="P24" i="2"/>
  <c r="P25" i="2"/>
  <c r="P26" i="2" s="1"/>
  <c r="Q17" i="2"/>
  <c r="Q18" i="2"/>
  <c r="R14" i="2"/>
  <c r="Q22" i="2"/>
  <c r="P54" i="2"/>
  <c r="P50" i="2"/>
  <c r="P55" i="2"/>
  <c r="Q47" i="2"/>
  <c r="P51" i="2"/>
  <c r="P52" i="2" l="1"/>
  <c r="P56" i="2"/>
  <c r="P57" i="2" s="1"/>
  <c r="Q19" i="2"/>
  <c r="Q54" i="2"/>
  <c r="Q50" i="2"/>
  <c r="Q51" i="2"/>
  <c r="R47" i="2"/>
  <c r="Q24" i="2"/>
  <c r="Q25" i="2" s="1"/>
  <c r="Q26" i="2" s="1"/>
  <c r="R17" i="2"/>
  <c r="S14" i="2"/>
  <c r="R22" i="2"/>
  <c r="R18" i="2"/>
  <c r="Q55" i="2" l="1"/>
  <c r="Q56" i="2" s="1"/>
  <c r="Q57" i="2" s="1"/>
  <c r="R19" i="2"/>
  <c r="R24" i="2"/>
  <c r="R25" i="2"/>
  <c r="R26" i="2" s="1"/>
  <c r="T14" i="2"/>
  <c r="S18" i="2"/>
  <c r="S22" i="2"/>
  <c r="S17" i="2"/>
  <c r="Q52" i="2"/>
  <c r="R50" i="2"/>
  <c r="R55" i="2"/>
  <c r="S47" i="2"/>
  <c r="R51" i="2"/>
  <c r="R54" i="2"/>
  <c r="R52" i="2" l="1"/>
  <c r="S24" i="2"/>
  <c r="S25" i="2" s="1"/>
  <c r="S26" i="2" s="1"/>
  <c r="U14" i="2"/>
  <c r="U22" i="2" s="1"/>
  <c r="H28" i="2" s="1"/>
  <c r="T28" i="2" s="1"/>
  <c r="T17" i="2"/>
  <c r="T18" i="2"/>
  <c r="T22" i="2"/>
  <c r="R56" i="2"/>
  <c r="R57" i="2" s="1"/>
  <c r="S55" i="2"/>
  <c r="T47" i="2"/>
  <c r="S51" i="2"/>
  <c r="S54" i="2"/>
  <c r="S56" i="2" s="1"/>
  <c r="S57" i="2" s="1"/>
  <c r="S50" i="2"/>
  <c r="S19" i="2"/>
  <c r="J28" i="2" l="1"/>
  <c r="H29" i="2"/>
  <c r="H30" i="2" s="1"/>
  <c r="K28" i="2"/>
  <c r="M28" i="2"/>
  <c r="L28" i="2"/>
  <c r="N28" i="2"/>
  <c r="O28" i="2"/>
  <c r="P28" i="2"/>
  <c r="Q28" i="2"/>
  <c r="R28" i="2"/>
  <c r="S28" i="2"/>
  <c r="T59" i="2"/>
  <c r="T55" i="2"/>
  <c r="U47" i="2"/>
  <c r="U54" i="2" s="1"/>
  <c r="T51" i="2"/>
  <c r="T50" i="2"/>
  <c r="T54" i="2"/>
  <c r="T19" i="2"/>
  <c r="S52" i="2"/>
  <c r="T24" i="2"/>
  <c r="T25" i="2" s="1"/>
  <c r="T26" i="2" s="1"/>
  <c r="T52" i="2" l="1"/>
  <c r="N59" i="2"/>
  <c r="S59" i="2"/>
  <c r="R59" i="2"/>
  <c r="K59" i="2"/>
  <c r="O59" i="2"/>
  <c r="T56" i="2"/>
  <c r="T57" i="2" s="1"/>
  <c r="Q59" i="2"/>
  <c r="J29" i="2"/>
  <c r="J60" i="2" s="1"/>
  <c r="M29" i="2"/>
  <c r="M60" i="2" s="1"/>
  <c r="K29" i="2"/>
  <c r="K60" i="2" s="1"/>
  <c r="L29" i="2"/>
  <c r="L60" i="2" s="1"/>
  <c r="N29" i="2"/>
  <c r="N60" i="2" s="1"/>
  <c r="O29" i="2"/>
  <c r="O60" i="2" s="1"/>
  <c r="P29" i="2"/>
  <c r="P60" i="2" s="1"/>
  <c r="Q29" i="2"/>
  <c r="Q60" i="2" s="1"/>
  <c r="R29" i="2"/>
  <c r="R60" i="2" s="1"/>
  <c r="S29" i="2"/>
  <c r="S60" i="2" s="1"/>
  <c r="T29" i="2"/>
  <c r="L59" i="2"/>
  <c r="M59" i="2"/>
  <c r="P59" i="2"/>
  <c r="J59" i="2"/>
  <c r="L30" i="2" l="1"/>
  <c r="L32" i="2" s="1"/>
  <c r="P61" i="2"/>
  <c r="P63" i="2" s="1"/>
  <c r="L61" i="2"/>
  <c r="L63" i="2" s="1"/>
  <c r="K61" i="2"/>
  <c r="K63" i="2" s="1"/>
  <c r="P30" i="2"/>
  <c r="P32" i="2" s="1"/>
  <c r="J30" i="2"/>
  <c r="J32" i="2" s="1"/>
  <c r="T60" i="2"/>
  <c r="T61" i="2" s="1"/>
  <c r="T63" i="2" s="1"/>
  <c r="T30" i="2"/>
  <c r="T32" i="2" s="1"/>
  <c r="K30" i="2"/>
  <c r="K32" i="2" s="1"/>
  <c r="Q61" i="2"/>
  <c r="Q63" i="2" s="1"/>
  <c r="R30" i="2"/>
  <c r="R32" i="2" s="1"/>
  <c r="S61" i="2"/>
  <c r="S63" i="2" s="1"/>
  <c r="R61" i="2"/>
  <c r="R63" i="2" s="1"/>
  <c r="S30" i="2"/>
  <c r="S32" i="2" s="1"/>
  <c r="M30" i="2"/>
  <c r="M32" i="2" s="1"/>
  <c r="Q30" i="2"/>
  <c r="Q32" i="2" s="1"/>
  <c r="O61" i="2"/>
  <c r="O63" i="2" s="1"/>
  <c r="N61" i="2"/>
  <c r="N63" i="2" s="1"/>
  <c r="M61" i="2"/>
  <c r="M63" i="2" s="1"/>
  <c r="J61" i="2"/>
  <c r="J63" i="2" s="1"/>
  <c r="O30" i="2"/>
  <c r="O32" i="2" s="1"/>
  <c r="N30" i="2"/>
  <c r="N32" i="2" s="1"/>
  <c r="U10" i="2" l="1"/>
  <c r="U11" i="2"/>
  <c r="U4" i="2"/>
  <c r="U5" i="2"/>
</calcChain>
</file>

<file path=xl/sharedStrings.xml><?xml version="1.0" encoding="utf-8"?>
<sst xmlns="http://schemas.openxmlformats.org/spreadsheetml/2006/main" count="97" uniqueCount="61">
  <si>
    <t>Description of the Investment</t>
  </si>
  <si>
    <t xml:space="preserve"> </t>
  </si>
  <si>
    <t>Name</t>
  </si>
  <si>
    <t>Torre Financiera Panamá</t>
  </si>
  <si>
    <t>Address</t>
  </si>
  <si>
    <t>Av. Balboa 5500</t>
  </si>
  <si>
    <t>Investment</t>
  </si>
  <si>
    <t>IRR</t>
  </si>
  <si>
    <t>City</t>
  </si>
  <si>
    <t>City de Panamá</t>
  </si>
  <si>
    <t>Purchase Price</t>
  </si>
  <si>
    <t>Multiple</t>
  </si>
  <si>
    <t>Province</t>
  </si>
  <si>
    <t>Province de Panamá</t>
  </si>
  <si>
    <t>Closing Costs</t>
  </si>
  <si>
    <t>Postal Code</t>
  </si>
  <si>
    <t>Operating</t>
  </si>
  <si>
    <t>Insert Image</t>
  </si>
  <si>
    <t>NOI Year 1</t>
  </si>
  <si>
    <t xml:space="preserve">Start Date of Analysis </t>
  </si>
  <si>
    <t>Returns Combined (Actual+Projection) Without Leverage</t>
  </si>
  <si>
    <t xml:space="preserve">End of Analysis Period </t>
  </si>
  <si>
    <t>Current Year</t>
  </si>
  <si>
    <t>Selling Costs</t>
  </si>
  <si>
    <t>Projection</t>
  </si>
  <si>
    <t>Total Costos de Adquisición</t>
  </si>
  <si>
    <t>Year 1</t>
  </si>
  <si>
    <t>Ingreso Operating Net</t>
  </si>
  <si>
    <t>Annual Growth:</t>
  </si>
  <si>
    <t>Expenses Capitales</t>
  </si>
  <si>
    <t>Return Free y Claro (Anualizado)</t>
  </si>
  <si>
    <t>Exit Rate</t>
  </si>
  <si>
    <t>Year of Sale</t>
  </si>
  <si>
    <t>Amount</t>
  </si>
  <si>
    <t>Sale Price</t>
  </si>
  <si>
    <t>% of Sales Price</t>
  </si>
  <si>
    <t>Revenues of Sale</t>
  </si>
  <si>
    <t>Actual</t>
  </si>
  <si>
    <t xml:space="preserve">Purchase Price </t>
  </si>
  <si>
    <t xml:space="preserve">Closing Costs </t>
  </si>
  <si>
    <t>COMBINADO (Projection+Actual)</t>
  </si>
  <si>
    <t>Cash Flow Cash Flow de Operaciones</t>
  </si>
  <si>
    <t>Terminal</t>
  </si>
  <si>
    <t>Year of Terminal</t>
  </si>
  <si>
    <t>Average Free and Clear Return</t>
  </si>
  <si>
    <t>Investment cash flow</t>
  </si>
  <si>
    <t>Operating cash flow</t>
  </si>
  <si>
    <t>Terminal cash flow</t>
  </si>
  <si>
    <t>Net Cash Flow Without Leverage</t>
  </si>
  <si>
    <t>Projection Returns Without Leverage</t>
  </si>
  <si>
    <t>Start</t>
  </si>
  <si>
    <t>End</t>
  </si>
  <si>
    <t>Budget</t>
  </si>
  <si>
    <t>Net Operating Income</t>
  </si>
  <si>
    <t>% NOI</t>
  </si>
  <si>
    <t>Capital Expenditures</t>
  </si>
  <si>
    <t>Cash Flow / Cash Flow from Operations</t>
  </si>
  <si>
    <t>Free and Clear Return (Annualized)</t>
  </si>
  <si>
    <t>Exit Cap Rate</t>
  </si>
  <si>
    <t>Capital Exp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</si>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</sst>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&quot;Year&quot;\ 0"/>
    <numFmt numFmtId="165" formatCode="&quot;Current Year&quot;\ 0"/>
    <numFmt numFmtId="166" formatCode="0.00&quot;x&quot;"/>
    <numFmt numFmtId="167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u val="singleAccounting"/>
      <sz val="11"/>
      <color rgb="FF0000FF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9">
    <xf numFmtId="0" fontId="0" fillId="0" borderId="0" xfId="0"/>
    <xf numFmtId="10" fontId="3" fillId="0" borderId="0" xfId="0" applyNumberFormat="1" applyFont="1"/>
    <xf numFmtId="41" fontId="3" fillId="0" borderId="0" xfId="0" applyNumberFormat="1" applyFont="1"/>
    <xf numFmtId="164" fontId="3" fillId="0" borderId="0" xfId="0" applyNumberFormat="1" applyFont="1"/>
    <xf numFmtId="41" fontId="5" fillId="0" borderId="0" xfId="0" applyNumberFormat="1" applyFont="1"/>
    <xf numFmtId="41" fontId="4" fillId="0" borderId="0" xfId="0" applyNumberFormat="1" applyFont="1"/>
    <xf numFmtId="41" fontId="3" fillId="2" borderId="0" xfId="0" applyNumberFormat="1" applyFont="1" applyFill="1"/>
    <xf numFmtId="0" fontId="3" fillId="0" borderId="0" xfId="0" applyFont="1"/>
    <xf numFmtId="10" fontId="3" fillId="0" borderId="0" xfId="0" applyNumberFormat="1" applyFont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164" fontId="7" fillId="0" borderId="0" xfId="0" applyNumberFormat="1" applyFont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2" fillId="4" borderId="1" xfId="0" applyFont="1" applyFill="1" applyBorder="1"/>
    <xf numFmtId="164" fontId="2" fillId="4" borderId="1" xfId="0" applyNumberFormat="1" applyFont="1" applyFill="1" applyBorder="1"/>
    <xf numFmtId="10" fontId="0" fillId="0" borderId="0" xfId="0" applyNumberFormat="1"/>
    <xf numFmtId="0" fontId="0" fillId="0" borderId="0" xfId="0" applyAlignment="1">
      <alignment horizontal="left" indent="1"/>
    </xf>
    <xf numFmtId="41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9" fillId="0" borderId="0" xfId="0" applyFont="1" applyAlignment="1">
      <alignment horizontal="left" indent="1"/>
    </xf>
    <xf numFmtId="10" fontId="9" fillId="0" borderId="0" xfId="0" applyNumberFormat="1" applyFont="1"/>
    <xf numFmtId="164" fontId="8" fillId="0" borderId="0" xfId="0" applyNumberFormat="1" applyFont="1"/>
    <xf numFmtId="164" fontId="6" fillId="0" borderId="0" xfId="0" applyNumberFormat="1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3" borderId="2" xfId="0" applyFont="1" applyFill="1" applyBorder="1"/>
    <xf numFmtId="0" fontId="2" fillId="3" borderId="2" xfId="0" applyFont="1" applyFill="1" applyBorder="1"/>
    <xf numFmtId="0" fontId="1" fillId="3" borderId="2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10" fontId="0" fillId="0" borderId="0" xfId="0" applyNumberFormat="1" applyAlignment="1">
      <alignment horizontal="left" indent="1"/>
    </xf>
    <xf numFmtId="166" fontId="0" fillId="0" borderId="0" xfId="0" applyNumberFormat="1" applyAlignment="1">
      <alignment horizontal="left" indent="1"/>
    </xf>
    <xf numFmtId="0" fontId="3" fillId="0" borderId="0" xfId="0" applyFont="1" applyAlignment="1">
      <alignment horizontal="right"/>
    </xf>
    <xf numFmtId="167" fontId="3" fillId="0" borderId="0" xfId="0" applyNumberFormat="1" applyFont="1"/>
    <xf numFmtId="0" fontId="10" fillId="0" borderId="0" xfId="0" applyFont="1"/>
    <xf numFmtId="164" fontId="0" fillId="0" borderId="0" xfId="0" applyNumberFormat="1"/>
    <xf numFmtId="43" fontId="0" fillId="0" borderId="0" xfId="1" applyFont="1"/>
    <xf numFmtId="165" fontId="1" fillId="3" borderId="2" xfId="0" applyNumberFormat="1" applyFont="1" applyFill="1" applyBorder="1" applyAlignment="1">
      <alignment horizontal="left"/>
    </xf>
    <xf numFmtId="165" fontId="0" fillId="0" borderId="2" xfId="0" applyNumberFormat="1" applyBorder="1"/>
    <xf numFmtId="165" fontId="1" fillId="3" borderId="0" xfId="0" applyNumberFormat="1" applyFont="1" applyFill="1" applyAlignment="1">
      <alignment horizontal="left"/>
    </xf>
    <xf numFmtId="0" fontId="0" fillId="0" borderId="0" xfId="0"/>
  </cellXfs>
  <cellStyles count="2">
    <cellStyle name="Comma" xfId="1" builtinId="3"/>
    <cellStyle name="Normal" xfId="0" builtinId="0"/>
  </cellStyles>
  <dxfs count="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 por</a:t>
            </a:r>
            <a:r>
              <a:rPr lang="en-US" baseline="0"/>
              <a:t> Año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 por Año (Actual+Proyección)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}</c:f>
            </c:multiLvl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2AA-4BFC-BC99-E1AC2A8112FF}"/>
            </c:ext>
          </c:extLst>
        </c:ser>
        <c:ser>
          <c:idx val="1"/>
          <c:order val="1"/>
          <c:tx>
            <c:v>NOI por Año (Proyección)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}</c:f>
            </c:multiLvl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2AA-4BFC-BC99-E1AC2A81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71856"/>
        <c:axId val="1864470416"/>
      </c:barChart>
      <c:catAx>
        <c:axId val="1864471856"/>
        <c:scaling>
          <c:orientation val="minMax"/>
        </c:scaling>
        <c:delete val="0"/>
        <c:axPos val="b"/>
        <c:numFmt formatCode="&quot;Año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70416"/>
        <c:crosses val="autoZero"/>
        <c:auto val="1"/>
        <c:lblAlgn val="ctr"/>
        <c:lblOffset val="100"/>
        <c:noMultiLvlLbl val="0"/>
      </c:catAx>
      <c:valAx>
        <c:axId val="18644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7185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TIR (Actual+Proyección)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026-46DC-B30B-24D1F56C5F71}"/>
            </c:ext>
          </c:extLst>
        </c:ser>
        <c:ser>
          <c:idx val="1"/>
          <c:order val="1"/>
          <c:tx>
            <c:v>TIR (Proyección)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026-46DC-B30B-24D1F56C5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266416"/>
        <c:axId val="219263056"/>
      </c:barChart>
      <c:catAx>
        <c:axId val="219266416"/>
        <c:scaling>
          <c:orientation val="minMax"/>
        </c:scaling>
        <c:delete val="1"/>
        <c:axPos val="b"/>
        <c:numFmt formatCode="&quot;Year&quot;\ 0" sourceLinked="1"/>
        <c:majorTickMark val="none"/>
        <c:minorTickMark val="none"/>
        <c:tickLblPos val="nextTo"/>
        <c:crossAx val="219263056"/>
        <c:crosses val="autoZero"/>
        <c:auto val="1"/>
        <c:lblAlgn val="ctr"/>
        <c:lblOffset val="100"/>
        <c:noMultiLvlLbl val="0"/>
      </c:catAx>
      <c:valAx>
        <c:axId val="219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664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Múltiplo</a:t>
            </a:r>
            <a:r>
              <a:rPr lang="en-US" baseline="0"/>
              <a:t> de Capital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MCx (Actual+Proyección)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790-44C6-B754-6584A77CB2EE}"/>
            </c:ext>
          </c:extLst>
        </c:ser>
        <c:ser>
          <c:idx val="1"/>
          <c:order val="1"/>
          <c:tx>
            <c:v>MCx (Proyección)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790-44C6-B754-6584A77CB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266416"/>
        <c:axId val="219263056"/>
      </c:barChart>
      <c:catAx>
        <c:axId val="219266416"/>
        <c:scaling>
          <c:orientation val="minMax"/>
        </c:scaling>
        <c:delete val="1"/>
        <c:axPos val="b"/>
        <c:numFmt formatCode="&quot;Year&quot;\ 0" sourceLinked="1"/>
        <c:majorTickMark val="none"/>
        <c:minorTickMark val="none"/>
        <c:tickLblPos val="nextTo"/>
        <c:crossAx val="219263056"/>
        <c:crosses val="autoZero"/>
        <c:auto val="1"/>
        <c:lblAlgn val="ctr"/>
        <c:lblOffset val="100"/>
        <c:noMultiLvlLbl val="0"/>
      </c:catAx>
      <c:valAx>
        <c:axId val="219263056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664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Libre y Claro Promedio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Retorno Libre y Claro Promedio (Actual+Proyección)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1DF-489D-85B5-E7A8DD724056}"/>
            </c:ext>
          </c:extLst>
        </c:ser>
        <c:ser>
          <c:idx val="1"/>
          <c:order val="1"/>
          <c:tx>
            <c:v>Retorno Libre y Claro Promedio (Proyección)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1DF-489D-85B5-E7A8DD724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776512"/>
        <c:axId val="384781312"/>
      </c:barChart>
      <c:catAx>
        <c:axId val="384776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81312"/>
        <c:crosses val="autoZero"/>
        <c:auto val="1"/>
        <c:lblAlgn val="ctr"/>
        <c:lblOffset val="100"/>
        <c:noMultiLvlLbl val="0"/>
      </c:catAx>
      <c:valAx>
        <c:axId val="384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7651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224118</xdr:colOff>
      <xdr:row>65</xdr:row>
      <xdr:rowOff>116543</xdr:rowOff>
    </xdr:from>
    <xdr:to>
      <xdr:col>15</xdr:col>
      <xdr:colOff>510987</xdr:colOff>
      <xdr:row>100</xdr:row>
      <xdr:rowOff>102872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614081</xdr:colOff>
      <xdr:row>65</xdr:row>
      <xdr:rowOff>121021</xdr:rowOff>
    </xdr:from>
    <xdr:to>
      <xdr:col>20</xdr:col>
      <xdr:colOff>564776</xdr:colOff>
      <xdr:row>76</xdr:row>
      <xdr:rowOff>98611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618564</xdr:colOff>
      <xdr:row>77</xdr:row>
      <xdr:rowOff>143438</xdr:rowOff>
    </xdr:from>
    <xdr:to>
      <xdr:col>20</xdr:col>
      <xdr:colOff>564776</xdr:colOff>
      <xdr:row>88</xdr:row>
      <xdr:rowOff>118336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618565</xdr:colOff>
      <xdr:row>89</xdr:row>
      <xdr:rowOff>150607</xdr:rowOff>
    </xdr:from>
    <xdr:to>
      <xdr:col>20</xdr:col>
      <xdr:colOff>549835</xdr:colOff>
      <xdr:row>100</xdr:row>
      <xdr:rowOff>116542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484095</xdr:colOff>
      <xdr:row>2</xdr:row>
      <xdr:rowOff>71718</xdr:rowOff>
    </xdr:from>
    <xdr:to>
      <xdr:col>9</xdr:col>
      <xdr:colOff>230843</xdr:colOff>
      <xdr:row>11</xdr:row>
      <xdr:rowOff>107577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5217460" y="430306"/>
          <a:ext cx="1649506" cy="164950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"/>
  <sheetViews>
    <sheetView showGridLines="0" tabSelected="1" zoomScale="85" zoomScaleNormal="85" workbookViewId="0">
      <selection activeCell="B11" sqref="B11"/>
    </sheetView>
  </sheetViews>
  <sheetFormatPr defaultColWidth="0" defaultRowHeight="15" zeroHeight="1" x14ac:dyDescent="0.25"/>
  <cols>
    <col min="1" max="1" width="2.28515625" customWidth="1"/>
    <col min="2" max="5" width="11.140625" customWidth="1"/>
    <col min="6" max="6" width="13.42578125" customWidth="1"/>
    <col min="7" max="7" width="8.85546875" customWidth="1"/>
    <col min="8" max="8" width="13.42578125" bestFit="1" customWidth="1"/>
    <col min="9" max="9" width="14.42578125" bestFit="1" customWidth="1"/>
    <col min="10" max="10" width="13.5703125" bestFit="1" customWidth="1"/>
    <col min="11" max="19" width="11.7109375" bestFit="1" customWidth="1"/>
    <col min="20" max="20" width="14.42578125" bestFit="1" customWidth="1"/>
    <col min="21" max="21" width="12.7109375" customWidth="1"/>
    <col min="22" max="22" width="4.28515625" customWidth="1"/>
    <col min="23" max="23" width="8.85546875" hidden="1" customWidth="1"/>
    <col min="24" max="16384" width="8.85546875" hidden="1"/>
  </cols>
  <sheetData>
    <row r="1" spans="2:21" x14ac:dyDescent="0.25"/>
    <row r="2" spans="2:21" x14ac:dyDescent="0.25">
      <c r="B2" s="10" t="s">
        <v>0</v>
      </c>
      <c r="C2" s="9"/>
      <c r="D2" s="9"/>
      <c r="E2" s="9"/>
      <c r="F2" s="9"/>
      <c r="G2" s="9"/>
      <c r="H2" s="9"/>
      <c r="I2" s="9"/>
      <c r="J2" s="9" t="s">
        <v>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x14ac:dyDescent="0.25">
      <c r="B3" t="s">
        <v>2</v>
      </c>
      <c r="F3" s="40" t="s">
        <v>3</v>
      </c>
      <c r="G3" s="36"/>
      <c r="K3" s="37"/>
      <c r="L3" s="42" t="s">
        <v>60</v>
      </c>
      <c r="Q3" s="42" t="s">
        <v>49</v>
      </c>
    </row>
    <row r="4" spans="2:21" x14ac:dyDescent="0.25">
      <c r="B4" t="s">
        <v>4</v>
      </c>
      <c r="F4" s="40" t="s">
        <v>5</v>
      </c>
      <c r="G4" s="36"/>
      <c r="K4" s="37"/>
      <c r="L4" t="s">
        <v>6</v>
      </c>
      <c r="Q4" s="18" t="s">
        <v>7</v>
      </c>
      <c r="R4" s="18"/>
      <c r="S4" s="18"/>
      <c r="U4" s="38">
        <f ca="1">IRR(J32:T32)</f>
        <v>7.8930556891720238E-2</v>
      </c>
    </row>
    <row r="5" spans="2:21" x14ac:dyDescent="0.25">
      <c r="B5" t="s">
        <v>8</v>
      </c>
      <c r="F5" s="40" t="s">
        <v>9</v>
      </c>
      <c r="G5" s="36"/>
      <c r="K5" s="37"/>
      <c r="L5" s="18" t="s">
        <v>10</v>
      </c>
      <c r="M5" s="18"/>
      <c r="N5" s="18"/>
      <c r="O5" s="19">
        <f>H17</f>
        <v>9000000</v>
      </c>
      <c r="Q5" s="18" t="s">
        <v>11</v>
      </c>
      <c r="R5" s="18"/>
      <c r="S5" s="18"/>
      <c r="U5" s="39">
        <f ca="1">SUMIF(J32:T32,"&gt;0")/-SUMIF(J32:T32,"&lt;0")</f>
        <v>1.8887672013419947</v>
      </c>
    </row>
    <row r="6" spans="2:21" x14ac:dyDescent="0.25">
      <c r="B6" t="s">
        <v>12</v>
      </c>
      <c r="F6" s="40" t="s">
        <v>13</v>
      </c>
      <c r="G6" s="36"/>
      <c r="K6" s="37"/>
      <c r="L6" s="18" t="s">
        <v>14</v>
      </c>
      <c r="M6" s="18"/>
      <c r="N6" s="18"/>
      <c r="O6" s="20">
        <f>G18</f>
        <v>0.02</v>
      </c>
      <c r="Q6" t="s">
        <v>44</v>
      </c>
      <c r="R6" s="18"/>
      <c r="S6" s="18"/>
      <c r="U6" s="38">
        <f ca="1">AVERAGE(OFFSET(K26,0,0,1,F10))</f>
        <v>5.8744418217547854E-2</v>
      </c>
    </row>
    <row r="7" spans="2:21" x14ac:dyDescent="0.25">
      <c r="B7" t="s">
        <v>15</v>
      </c>
      <c r="F7" s="7">
        <v>32401</v>
      </c>
      <c r="G7" s="36"/>
      <c r="K7" s="37"/>
      <c r="L7" t="s">
        <v>16</v>
      </c>
      <c r="U7" s="17"/>
    </row>
    <row r="8" spans="2:21" x14ac:dyDescent="0.25">
      <c r="F8" s="7"/>
      <c r="G8" s="36"/>
      <c r="I8" t="s">
        <v>17</v>
      </c>
      <c r="K8" s="37"/>
      <c r="L8" s="18" t="s">
        <v>18</v>
      </c>
      <c r="M8" s="18"/>
      <c r="N8" s="18"/>
      <c r="O8" s="19">
        <f>H22</f>
        <v>500000</v>
      </c>
    </row>
    <row r="9" spans="2:21" x14ac:dyDescent="0.25">
      <c r="B9" t="s">
        <v>19</v>
      </c>
      <c r="F9" s="41">
        <v>45658</v>
      </c>
      <c r="G9" s="36"/>
      <c r="K9" s="37"/>
      <c r="L9" s="18" t="s">
        <v>59</v>
      </c>
      <c r="M9" s="18"/>
      <c r="N9" s="18"/>
      <c r="O9" s="20">
        <f>F24</f>
        <v>1.4999999999999999E-2</v>
      </c>
      <c r="Q9" s="42" t="s">
        <v>20</v>
      </c>
    </row>
    <row r="10" spans="2:21" x14ac:dyDescent="0.25">
      <c r="B10" t="s">
        <v>21</v>
      </c>
      <c r="F10" s="3">
        <v>10</v>
      </c>
      <c r="G10" s="36"/>
      <c r="K10" s="37"/>
      <c r="L10" s="21" t="s">
        <v>42</v>
      </c>
      <c r="Q10" s="18" t="s">
        <v>7</v>
      </c>
      <c r="R10" s="18"/>
      <c r="S10" s="18"/>
      <c r="U10" s="38">
        <f ca="1">IRR(J63:T63)</f>
        <v>6.3964826180175516E-2</v>
      </c>
    </row>
    <row r="11" spans="2:21" x14ac:dyDescent="0.25">
      <c r="B11" t="s">
        <v>43</v>
      </c>
      <c r="F11" s="43">
        <f>$F$10+1</f>
        <v>11</v>
      </c>
      <c r="G11" s="36"/>
      <c r="K11" s="37"/>
      <c r="L11" s="18" t="s">
        <v>58</v>
      </c>
      <c r="M11" s="18"/>
      <c r="N11" s="18"/>
      <c r="O11" s="20">
        <f>E28</f>
        <v>0.05</v>
      </c>
      <c r="Q11" s="18" t="s">
        <v>11</v>
      </c>
      <c r="R11" s="18"/>
      <c r="S11" s="18"/>
      <c r="U11" s="39">
        <f ca="1">SUMIF(J63:T63,"&gt;0")/-SUMIF(J63:T63,"&lt;0")</f>
        <v>1.6911216635607365</v>
      </c>
    </row>
    <row r="12" spans="2:21" x14ac:dyDescent="0.25">
      <c r="B12" t="s">
        <v>22</v>
      </c>
      <c r="F12" s="3">
        <v>5</v>
      </c>
      <c r="G12" s="36"/>
      <c r="K12" s="37"/>
      <c r="L12" s="18" t="s">
        <v>23</v>
      </c>
      <c r="M12" s="18"/>
      <c r="N12" s="18"/>
      <c r="O12" s="20">
        <f>F29</f>
        <v>0.02</v>
      </c>
      <c r="Q12" t="s">
        <v>44</v>
      </c>
      <c r="R12" s="18"/>
      <c r="S12" s="18"/>
      <c r="U12" s="38">
        <f ca="1">AVERAGE(OFFSET(K57,0,0,1,F10))</f>
        <v>5.19930946310872E-2</v>
      </c>
    </row>
    <row r="13" spans="2:21" x14ac:dyDescent="0.25">
      <c r="B13" s="10" t="s">
        <v>24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5">
      <c r="J14" s="3">
        <v>0</v>
      </c>
      <c r="K14" s="3">
        <f t="shared" ref="K14:U14" si="0">+J14+1</f>
        <v>1</v>
      </c>
      <c r="L14" s="3">
        <f t="shared" si="0"/>
        <v>2</v>
      </c>
      <c r="M14" s="3">
        <f t="shared" si="0"/>
        <v>3</v>
      </c>
      <c r="N14" s="3">
        <f t="shared" si="0"/>
        <v>4</v>
      </c>
      <c r="O14" s="3">
        <f t="shared" si="0"/>
        <v>5</v>
      </c>
      <c r="P14" s="3">
        <f t="shared" si="0"/>
        <v>6</v>
      </c>
      <c r="Q14" s="3">
        <f t="shared" si="0"/>
        <v>7</v>
      </c>
      <c r="R14" s="3">
        <f t="shared" si="0"/>
        <v>8</v>
      </c>
      <c r="S14" s="3">
        <f t="shared" si="0"/>
        <v>9</v>
      </c>
      <c r="T14" s="3">
        <f t="shared" si="0"/>
        <v>10</v>
      </c>
      <c r="U14" s="3">
        <f t="shared" si="0"/>
        <v>11</v>
      </c>
    </row>
    <row r="15" spans="2:21" x14ac:dyDescent="0.25">
      <c r="J15" s="27"/>
      <c r="K15" s="27"/>
      <c r="L15" s="28" t="s">
        <v>43</v>
      </c>
      <c r="M15" s="28" t="s">
        <v>43</v>
      </c>
      <c r="N15" s="28" t="s">
        <v>43</v>
      </c>
      <c r="O15" s="28" t="s">
        <v>43</v>
      </c>
      <c r="P15" s="28" t="s">
        <v>43</v>
      </c>
      <c r="Q15" s="28" t="s">
        <v>43</v>
      </c>
      <c r="R15" s="28" t="s">
        <v>43</v>
      </c>
      <c r="S15" s="28" t="s">
        <v>43</v>
      </c>
      <c r="T15" s="28" t="s">
        <v>43</v>
      </c>
      <c r="U15" s="28" t="s">
        <v>43</v>
      </c>
    </row>
    <row r="16" spans="2:21" x14ac:dyDescent="0.25">
      <c r="B16" s="13" t="s">
        <v>45</v>
      </c>
      <c r="C16" s="13"/>
      <c r="D16" s="13"/>
      <c r="E16" s="14" t="s">
        <v>50</v>
      </c>
      <c r="F16" s="14" t="s">
        <v>51</v>
      </c>
      <c r="G16" s="13"/>
      <c r="H16" s="14" t="s">
        <v>52</v>
      </c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21" x14ac:dyDescent="0.25">
      <c r="B17" s="18" t="s">
        <v>10</v>
      </c>
      <c r="E17" s="3">
        <v>0</v>
      </c>
      <c r="F17" s="3">
        <v>0</v>
      </c>
      <c r="H17" s="2">
        <v>9000000</v>
      </c>
      <c r="J17" s="22">
        <f t="shared" ref="J17:T18" si="1">AND(J$14&lt;=$F17,J$14&gt;=$E17)*($H17/($F17-$E17+1))</f>
        <v>9000000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2">
        <f t="shared" si="1"/>
        <v>0</v>
      </c>
      <c r="O17" s="22">
        <f t="shared" si="1"/>
        <v>0</v>
      </c>
      <c r="P17" s="22">
        <f t="shared" si="1"/>
        <v>0</v>
      </c>
      <c r="Q17" s="22">
        <f t="shared" si="1"/>
        <v>0</v>
      </c>
      <c r="R17" s="22">
        <f t="shared" si="1"/>
        <v>0</v>
      </c>
      <c r="S17" s="22">
        <f t="shared" si="1"/>
        <v>0</v>
      </c>
      <c r="T17" s="22">
        <f t="shared" si="1"/>
        <v>0</v>
      </c>
    </row>
    <row r="18" spans="2:21" ht="16.149999999999999" customHeight="1" x14ac:dyDescent="0.4">
      <c r="B18" s="18" t="s">
        <v>14</v>
      </c>
      <c r="E18" s="3">
        <v>0</v>
      </c>
      <c r="F18" s="3">
        <v>0</v>
      </c>
      <c r="G18" s="1">
        <v>0.02</v>
      </c>
      <c r="H18" s="5">
        <f>G18*H17</f>
        <v>180000</v>
      </c>
      <c r="J18" s="4">
        <f t="shared" si="1"/>
        <v>180000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4">
        <f t="shared" si="1"/>
        <v>0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1"/>
        <v>0</v>
      </c>
    </row>
    <row r="19" spans="2:21" x14ac:dyDescent="0.25">
      <c r="B19" t="s">
        <v>25</v>
      </c>
      <c r="H19" s="22">
        <f>SUM(H17:H18)</f>
        <v>9180000</v>
      </c>
      <c r="J19" s="22">
        <f t="shared" ref="J19:T19" si="2">SUM(J17:J18)</f>
        <v>9180000</v>
      </c>
      <c r="K19" s="22">
        <f t="shared" si="2"/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0</v>
      </c>
    </row>
    <row r="20" spans="2:21" x14ac:dyDescent="0.25">
      <c r="B20" s="13" t="s">
        <v>46</v>
      </c>
      <c r="C20" s="13"/>
      <c r="D20" s="13"/>
      <c r="E20" s="14"/>
      <c r="F20" s="14"/>
      <c r="G20" s="13"/>
      <c r="H20" s="14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1" x14ac:dyDescent="0.25">
      <c r="H21" s="23" t="s">
        <v>26</v>
      </c>
    </row>
    <row r="22" spans="2:21" x14ac:dyDescent="0.25">
      <c r="B22" t="s">
        <v>53</v>
      </c>
      <c r="E22" s="23" t="s">
        <v>28</v>
      </c>
      <c r="F22" s="8">
        <v>0.02</v>
      </c>
      <c r="G22" s="1"/>
      <c r="H22" s="2">
        <v>500000</v>
      </c>
      <c r="J22" s="22">
        <v>0</v>
      </c>
      <c r="K22" s="22">
        <f t="shared" ref="K22:U22" si="3">$H22*(1+$F22)^(K$14-1)</f>
        <v>500000</v>
      </c>
      <c r="L22" s="22">
        <f t="shared" si="3"/>
        <v>510000</v>
      </c>
      <c r="M22" s="22">
        <f t="shared" si="3"/>
        <v>520200</v>
      </c>
      <c r="N22" s="22">
        <f t="shared" si="3"/>
        <v>530604</v>
      </c>
      <c r="O22" s="22">
        <f t="shared" si="3"/>
        <v>541216.07999999996</v>
      </c>
      <c r="P22" s="22">
        <f t="shared" si="3"/>
        <v>552040.40159999998</v>
      </c>
      <c r="Q22" s="22">
        <f t="shared" si="3"/>
        <v>563081.20963200007</v>
      </c>
      <c r="R22" s="22">
        <f t="shared" si="3"/>
        <v>574342.83382463991</v>
      </c>
      <c r="S22" s="22">
        <f t="shared" si="3"/>
        <v>585829.69050113275</v>
      </c>
      <c r="T22" s="22">
        <f t="shared" si="3"/>
        <v>597546.28431115544</v>
      </c>
      <c r="U22" s="22">
        <f t="shared" si="3"/>
        <v>609497.20999737852</v>
      </c>
    </row>
    <row r="23" spans="2:21" x14ac:dyDescent="0.25">
      <c r="E23" s="23"/>
      <c r="F23" s="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2:21" ht="16.149999999999999" customHeight="1" x14ac:dyDescent="0.4">
      <c r="B24" s="18" t="s">
        <v>55</v>
      </c>
      <c r="E24" s="23" t="s">
        <v>54</v>
      </c>
      <c r="F24" s="8">
        <v>1.4999999999999999E-2</v>
      </c>
      <c r="H24" s="4">
        <f>$F$24*H22</f>
        <v>7500</v>
      </c>
      <c r="J24" s="4">
        <f t="shared" ref="J24:T24" si="4">$F$24*J22</f>
        <v>0</v>
      </c>
      <c r="K24" s="4">
        <f t="shared" si="4"/>
        <v>7500</v>
      </c>
      <c r="L24" s="4">
        <f t="shared" si="4"/>
        <v>7650</v>
      </c>
      <c r="M24" s="4">
        <f t="shared" si="4"/>
        <v>7803</v>
      </c>
      <c r="N24" s="4">
        <f t="shared" si="4"/>
        <v>7959.0599999999995</v>
      </c>
      <c r="O24" s="4">
        <f t="shared" si="4"/>
        <v>8118.2411999999995</v>
      </c>
      <c r="P24" s="4">
        <f t="shared" si="4"/>
        <v>8280.6060239999988</v>
      </c>
      <c r="Q24" s="4">
        <f t="shared" si="4"/>
        <v>8446.2181444800008</v>
      </c>
      <c r="R24" s="4">
        <f t="shared" si="4"/>
        <v>8615.1425073695991</v>
      </c>
      <c r="S24" s="4">
        <f t="shared" si="4"/>
        <v>8787.44535751699</v>
      </c>
      <c r="T24" s="4">
        <f t="shared" si="4"/>
        <v>8963.1942646673306</v>
      </c>
      <c r="U24" s="22"/>
    </row>
    <row r="25" spans="2:21" x14ac:dyDescent="0.25">
      <c r="B25" t="s">
        <v>56</v>
      </c>
      <c r="H25" s="22">
        <f>H22-H24</f>
        <v>492500</v>
      </c>
      <c r="J25" s="22">
        <f t="shared" ref="J25:T25" si="5">J22-J24</f>
        <v>0</v>
      </c>
      <c r="K25" s="22">
        <f t="shared" si="5"/>
        <v>492500</v>
      </c>
      <c r="L25" s="22">
        <f t="shared" si="5"/>
        <v>502350</v>
      </c>
      <c r="M25" s="22">
        <f t="shared" si="5"/>
        <v>512397</v>
      </c>
      <c r="N25" s="22">
        <f t="shared" si="5"/>
        <v>522644.94</v>
      </c>
      <c r="O25" s="22">
        <f t="shared" si="5"/>
        <v>533097.83879999991</v>
      </c>
      <c r="P25" s="22">
        <f t="shared" si="5"/>
        <v>543759.795576</v>
      </c>
      <c r="Q25" s="22">
        <f t="shared" si="5"/>
        <v>554634.99148752005</v>
      </c>
      <c r="R25" s="22">
        <f t="shared" si="5"/>
        <v>565727.69131727028</v>
      </c>
      <c r="S25" s="22">
        <f t="shared" si="5"/>
        <v>577042.24514361576</v>
      </c>
      <c r="T25" s="22">
        <f t="shared" si="5"/>
        <v>588583.0900464881</v>
      </c>
      <c r="U25" s="22"/>
    </row>
    <row r="26" spans="2:21" x14ac:dyDescent="0.25">
      <c r="B26" s="25" t="s">
        <v>57</v>
      </c>
      <c r="H26" s="22"/>
      <c r="J26" s="22"/>
      <c r="K26" s="26">
        <f>K25/SUM($J$19:J19)</f>
        <v>5.3649237472766884E-2</v>
      </c>
      <c r="L26" s="26">
        <f>L25/SUM($J$19:K19)</f>
        <v>5.4722222222222221E-2</v>
      </c>
      <c r="M26" s="26">
        <f>M25/SUM($J$19:L19)</f>
        <v>5.5816666666666667E-2</v>
      </c>
      <c r="N26" s="26">
        <f>N25/SUM($J$19:M19)</f>
        <v>5.6932999999999997E-2</v>
      </c>
      <c r="O26" s="26">
        <f>O25/SUM($J$19:N19)</f>
        <v>5.807165999999999E-2</v>
      </c>
      <c r="P26" s="26">
        <f>P25/SUM($J$19:O19)</f>
        <v>5.9233093200000003E-2</v>
      </c>
      <c r="Q26" s="26">
        <f>Q25/SUM($J$19:P19)</f>
        <v>6.0417755064000003E-2</v>
      </c>
      <c r="R26" s="26">
        <f>R25/SUM($J$19:Q19)</f>
        <v>6.1626110165279989E-2</v>
      </c>
      <c r="S26" s="26">
        <f>S25/SUM($J$19:R19)</f>
        <v>6.285863236858559E-2</v>
      </c>
      <c r="T26" s="26">
        <f>T25/SUM($J$19:S19)</f>
        <v>6.4115805015957303E-2</v>
      </c>
      <c r="U26" s="22"/>
    </row>
    <row r="27" spans="2:21" x14ac:dyDescent="0.25">
      <c r="B27" s="13" t="s">
        <v>47</v>
      </c>
      <c r="C27" s="13"/>
      <c r="D27" s="13"/>
      <c r="E27" s="14" t="s">
        <v>31</v>
      </c>
      <c r="F27" s="14" t="s">
        <v>32</v>
      </c>
      <c r="G27" s="13"/>
      <c r="H27" s="14" t="s">
        <v>33</v>
      </c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2:21" x14ac:dyDescent="0.25">
      <c r="B28" t="s">
        <v>34</v>
      </c>
      <c r="E28" s="8">
        <v>0.05</v>
      </c>
      <c r="F28" s="12">
        <f>F10</f>
        <v>10</v>
      </c>
      <c r="H28" s="22">
        <f ca="1">OFFSET(J22,0,F10+1)/$E$28</f>
        <v>12189944.19994757</v>
      </c>
      <c r="I28" s="44"/>
      <c r="J28" s="22">
        <f t="shared" ref="J28:T28" ca="1" si="6">(J$14=$F$10)*$H$28</f>
        <v>0</v>
      </c>
      <c r="K28" s="22">
        <f t="shared" ca="1" si="6"/>
        <v>0</v>
      </c>
      <c r="L28" s="22">
        <f t="shared" ca="1" si="6"/>
        <v>0</v>
      </c>
      <c r="M28" s="22">
        <f t="shared" ca="1" si="6"/>
        <v>0</v>
      </c>
      <c r="N28" s="22">
        <f t="shared" ca="1" si="6"/>
        <v>0</v>
      </c>
      <c r="O28" s="22">
        <f t="shared" ca="1" si="6"/>
        <v>0</v>
      </c>
      <c r="P28" s="22">
        <f t="shared" ca="1" si="6"/>
        <v>0</v>
      </c>
      <c r="Q28" s="22">
        <f t="shared" ca="1" si="6"/>
        <v>0</v>
      </c>
      <c r="R28" s="22">
        <f t="shared" ca="1" si="6"/>
        <v>0</v>
      </c>
      <c r="S28" s="22">
        <f t="shared" ca="1" si="6"/>
        <v>0</v>
      </c>
      <c r="T28" s="22">
        <f t="shared" ca="1" si="6"/>
        <v>12189944.19994757</v>
      </c>
    </row>
    <row r="29" spans="2:21" ht="16.149999999999999" customHeight="1" x14ac:dyDescent="0.4">
      <c r="B29" s="18" t="s">
        <v>23</v>
      </c>
      <c r="E29" s="23" t="s">
        <v>35</v>
      </c>
      <c r="F29" s="8">
        <v>0.02</v>
      </c>
      <c r="H29" s="4">
        <f ca="1">-1*$F$29*H28</f>
        <v>-243798.88399895141</v>
      </c>
      <c r="J29" s="4">
        <f t="shared" ref="J29:T29" ca="1" si="7">(J$14=$F$10)*$H$29</f>
        <v>0</v>
      </c>
      <c r="K29" s="4">
        <f t="shared" ca="1" si="7"/>
        <v>0</v>
      </c>
      <c r="L29" s="4">
        <f t="shared" ca="1" si="7"/>
        <v>0</v>
      </c>
      <c r="M29" s="4">
        <f t="shared" ca="1" si="7"/>
        <v>0</v>
      </c>
      <c r="N29" s="4">
        <f t="shared" ca="1" si="7"/>
        <v>0</v>
      </c>
      <c r="O29" s="4">
        <f t="shared" ca="1" si="7"/>
        <v>0</v>
      </c>
      <c r="P29" s="4">
        <f t="shared" ca="1" si="7"/>
        <v>0</v>
      </c>
      <c r="Q29" s="4">
        <f t="shared" ca="1" si="7"/>
        <v>0</v>
      </c>
      <c r="R29" s="4">
        <f t="shared" ca="1" si="7"/>
        <v>0</v>
      </c>
      <c r="S29" s="4">
        <f t="shared" ca="1" si="7"/>
        <v>0</v>
      </c>
      <c r="T29" s="4">
        <f t="shared" ca="1" si="7"/>
        <v>-243798.88399895141</v>
      </c>
    </row>
    <row r="30" spans="2:21" x14ac:dyDescent="0.25">
      <c r="B30" t="s">
        <v>36</v>
      </c>
      <c r="H30" s="22">
        <f ca="1">SUM(H28:H29)</f>
        <v>11946145.315948619</v>
      </c>
      <c r="J30" s="22">
        <f t="shared" ref="J30:T30" ca="1" si="8">SUM(J28:J29)</f>
        <v>0</v>
      </c>
      <c r="K30" s="22">
        <f t="shared" ca="1" si="8"/>
        <v>0</v>
      </c>
      <c r="L30" s="22">
        <f t="shared" ca="1" si="8"/>
        <v>0</v>
      </c>
      <c r="M30" s="22">
        <f t="shared" ca="1" si="8"/>
        <v>0</v>
      </c>
      <c r="N30" s="22">
        <f t="shared" ca="1" si="8"/>
        <v>0</v>
      </c>
      <c r="O30" s="22">
        <f t="shared" ca="1" si="8"/>
        <v>0</v>
      </c>
      <c r="P30" s="22">
        <f t="shared" ca="1" si="8"/>
        <v>0</v>
      </c>
      <c r="Q30" s="22">
        <f t="shared" ca="1" si="8"/>
        <v>0</v>
      </c>
      <c r="R30" s="22">
        <f t="shared" ca="1" si="8"/>
        <v>0</v>
      </c>
      <c r="S30" s="22">
        <f t="shared" ca="1" si="8"/>
        <v>0</v>
      </c>
      <c r="T30" s="22">
        <f t="shared" ca="1" si="8"/>
        <v>11946145.315948619</v>
      </c>
    </row>
    <row r="31" spans="2:21" x14ac:dyDescent="0.25">
      <c r="B31" s="13" t="s">
        <v>48</v>
      </c>
      <c r="C31" s="13"/>
      <c r="D31" s="13"/>
      <c r="E31" s="14"/>
      <c r="F31" s="14"/>
      <c r="G31" s="13"/>
      <c r="H31" s="14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2:21" x14ac:dyDescent="0.25">
      <c r="J32" s="44">
        <f ca="1">IF(J14&lt;=$F$10,-J19+J25+J30,"")</f>
        <v>-9180000</v>
      </c>
      <c r="K32" s="44">
        <f t="shared" ref="K32:T32" ca="1" si="9">IF(K14&lt;=$F$10,-K19+K25+K30,"")</f>
        <v>492500</v>
      </c>
      <c r="L32" s="44">
        <f t="shared" ca="1" si="9"/>
        <v>502350</v>
      </c>
      <c r="M32" s="44">
        <f t="shared" ca="1" si="9"/>
        <v>512397</v>
      </c>
      <c r="N32" s="44">
        <f t="shared" ca="1" si="9"/>
        <v>522644.94</v>
      </c>
      <c r="O32" s="44">
        <f t="shared" ca="1" si="9"/>
        <v>533097.83879999991</v>
      </c>
      <c r="P32" s="44">
        <f t="shared" ca="1" si="9"/>
        <v>543759.795576</v>
      </c>
      <c r="Q32" s="44">
        <f t="shared" ca="1" si="9"/>
        <v>554634.99148752005</v>
      </c>
      <c r="R32" s="44">
        <f t="shared" ca="1" si="9"/>
        <v>565727.69131727028</v>
      </c>
      <c r="S32" s="44">
        <f t="shared" ca="1" si="9"/>
        <v>577042.24514361576</v>
      </c>
      <c r="T32" s="44">
        <f t="shared" ca="1" si="9"/>
        <v>12534728.405995106</v>
      </c>
    </row>
    <row r="33" spans="2:21" x14ac:dyDescent="0.25"/>
    <row r="34" spans="2:21" x14ac:dyDescent="0.25">
      <c r="B34" s="10" t="s">
        <v>37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x14ac:dyDescent="0.25">
      <c r="B35" s="29"/>
      <c r="C35" s="30"/>
      <c r="D35" s="30"/>
      <c r="E35" s="30"/>
      <c r="F35" s="30"/>
      <c r="G35" s="30"/>
      <c r="H35" s="30"/>
      <c r="I35" s="30"/>
      <c r="J35" s="3">
        <v>0</v>
      </c>
      <c r="K35" s="3">
        <f t="shared" ref="K35:U35" si="10">+J35+1</f>
        <v>1</v>
      </c>
      <c r="L35" s="3">
        <f t="shared" si="10"/>
        <v>2</v>
      </c>
      <c r="M35" s="3">
        <f t="shared" si="10"/>
        <v>3</v>
      </c>
      <c r="N35" s="3">
        <f t="shared" si="10"/>
        <v>4</v>
      </c>
      <c r="O35" s="3">
        <f t="shared" si="10"/>
        <v>5</v>
      </c>
      <c r="P35" s="3">
        <f t="shared" si="10"/>
        <v>6</v>
      </c>
      <c r="Q35" s="3">
        <f t="shared" si="10"/>
        <v>7</v>
      </c>
      <c r="R35" s="3">
        <f t="shared" si="10"/>
        <v>8</v>
      </c>
      <c r="S35" s="3">
        <f t="shared" si="10"/>
        <v>9</v>
      </c>
      <c r="T35" s="3">
        <f t="shared" si="10"/>
        <v>10</v>
      </c>
      <c r="U35" s="3">
        <f t="shared" si="10"/>
        <v>11</v>
      </c>
    </row>
    <row r="36" spans="2:21" x14ac:dyDescent="0.25">
      <c r="B36" s="13" t="str">
        <f>B16</f>
        <v>Investment cash flow</v>
      </c>
      <c r="C36" s="13"/>
      <c r="D36" s="13"/>
      <c r="E36" s="14"/>
      <c r="F36" s="14"/>
      <c r="G36" s="13"/>
      <c r="H36" s="14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5">
      <c r="B37" s="18" t="s">
        <v>38</v>
      </c>
      <c r="E37" s="3"/>
      <c r="F37" s="3"/>
      <c r="H37" s="2"/>
      <c r="J37" s="6">
        <v>10000000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2:21" ht="16.149999999999999" customHeight="1" x14ac:dyDescent="0.4">
      <c r="B38" s="24" t="s">
        <v>39</v>
      </c>
      <c r="E38" s="3"/>
      <c r="F38" s="3"/>
      <c r="H38" s="5"/>
      <c r="J38" s="6">
        <v>200000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2:21" x14ac:dyDescent="0.25">
      <c r="B39" s="13" t="str">
        <f>B20</f>
        <v>Operating cash flow</v>
      </c>
      <c r="C39" s="13"/>
      <c r="D39" s="13"/>
      <c r="E39" s="14"/>
      <c r="F39" s="14"/>
      <c r="G39" s="13"/>
      <c r="H39" s="14"/>
      <c r="I39" s="1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2:21" x14ac:dyDescent="0.25">
      <c r="B40" s="18" t="s">
        <v>27</v>
      </c>
      <c r="F40" s="1"/>
      <c r="G40" s="1"/>
      <c r="H40" s="2"/>
      <c r="J40" s="6">
        <v>0</v>
      </c>
      <c r="K40" s="6">
        <v>450000</v>
      </c>
      <c r="L40" s="6">
        <v>470000</v>
      </c>
      <c r="M40" s="6">
        <v>500000</v>
      </c>
      <c r="N40" s="6">
        <v>550000</v>
      </c>
      <c r="O40" s="6">
        <v>560000</v>
      </c>
      <c r="P40" s="6">
        <v>565000</v>
      </c>
      <c r="Q40" s="6">
        <v>570000</v>
      </c>
      <c r="R40" s="6">
        <v>565000</v>
      </c>
      <c r="S40" s="6">
        <v>570000</v>
      </c>
      <c r="T40" s="6">
        <v>0</v>
      </c>
      <c r="U40" s="22"/>
    </row>
    <row r="41" spans="2:21" ht="16.149999999999999" customHeight="1" x14ac:dyDescent="0.4">
      <c r="B41" s="24" t="s">
        <v>29</v>
      </c>
      <c r="F41" s="1"/>
      <c r="H41" s="4"/>
      <c r="J41" s="6">
        <f>$F$24*J40</f>
        <v>0</v>
      </c>
      <c r="K41" s="6">
        <v>6750</v>
      </c>
      <c r="L41" s="6">
        <v>7050</v>
      </c>
      <c r="M41" s="6">
        <v>7500</v>
      </c>
      <c r="N41" s="6">
        <v>8250</v>
      </c>
      <c r="O41" s="6">
        <v>8400</v>
      </c>
      <c r="P41" s="6">
        <v>8475</v>
      </c>
      <c r="Q41" s="6">
        <v>8550</v>
      </c>
      <c r="R41" s="6">
        <v>8475</v>
      </c>
      <c r="S41" s="6">
        <v>8550</v>
      </c>
      <c r="T41" s="6">
        <v>0</v>
      </c>
      <c r="U41" s="22"/>
    </row>
    <row r="42" spans="2:21" x14ac:dyDescent="0.25">
      <c r="B42" s="13" t="str">
        <f>B27</f>
        <v>Terminal cash flow</v>
      </c>
      <c r="C42" s="13"/>
      <c r="D42" s="13"/>
      <c r="E42" s="14"/>
      <c r="F42" s="14"/>
      <c r="G42" s="13"/>
      <c r="H42" s="14"/>
      <c r="I42" s="1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5">
      <c r="B43" s="18" t="s">
        <v>34</v>
      </c>
      <c r="E43" s="1"/>
      <c r="F43" s="3"/>
      <c r="H43" s="22"/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7"/>
    </row>
    <row r="44" spans="2:21" ht="16.149999999999999" customHeight="1" x14ac:dyDescent="0.4">
      <c r="B44" s="24" t="s">
        <v>23</v>
      </c>
      <c r="F44" s="1"/>
      <c r="H44" s="4"/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7"/>
    </row>
    <row r="45" spans="2:21" x14ac:dyDescent="0.2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2:21" x14ac:dyDescent="0.25">
      <c r="B46" s="33" t="s">
        <v>40</v>
      </c>
      <c r="C46" s="34"/>
      <c r="D46" s="34"/>
      <c r="E46" s="34"/>
      <c r="F46" s="35"/>
      <c r="G46" s="45">
        <f>F12</f>
        <v>5</v>
      </c>
      <c r="H46" s="4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2:21" x14ac:dyDescent="0.25">
      <c r="B47" s="29"/>
      <c r="C47" s="30"/>
      <c r="D47" s="30"/>
      <c r="E47" s="30"/>
      <c r="F47" s="31"/>
      <c r="G47" s="32"/>
      <c r="H47" s="32"/>
      <c r="I47" s="30"/>
      <c r="J47" s="3">
        <v>0</v>
      </c>
      <c r="K47" s="3">
        <f t="shared" ref="K47:U47" si="11">+J47+1</f>
        <v>1</v>
      </c>
      <c r="L47" s="3">
        <f t="shared" si="11"/>
        <v>2</v>
      </c>
      <c r="M47" s="3">
        <f t="shared" si="11"/>
        <v>3</v>
      </c>
      <c r="N47" s="3">
        <f t="shared" si="11"/>
        <v>4</v>
      </c>
      <c r="O47" s="3">
        <f t="shared" si="11"/>
        <v>5</v>
      </c>
      <c r="P47" s="3">
        <f t="shared" si="11"/>
        <v>6</v>
      </c>
      <c r="Q47" s="3">
        <f t="shared" si="11"/>
        <v>7</v>
      </c>
      <c r="R47" s="3">
        <f t="shared" si="11"/>
        <v>8</v>
      </c>
      <c r="S47" s="3">
        <f t="shared" si="11"/>
        <v>9</v>
      </c>
      <c r="T47" s="3">
        <f t="shared" si="11"/>
        <v>10</v>
      </c>
      <c r="U47" s="3">
        <f t="shared" si="11"/>
        <v>11</v>
      </c>
    </row>
    <row r="48" spans="2:21" x14ac:dyDescent="0.25">
      <c r="B48" s="29"/>
      <c r="C48" s="30"/>
      <c r="D48" s="30"/>
      <c r="E48" s="30"/>
      <c r="F48" s="31"/>
      <c r="G48" s="32"/>
      <c r="H48" s="32"/>
      <c r="I48" s="30"/>
      <c r="J48" s="27"/>
      <c r="K48" s="27"/>
      <c r="L48" s="28" t="s">
        <v>43</v>
      </c>
      <c r="M48" s="28" t="s">
        <v>43</v>
      </c>
      <c r="N48" s="28" t="s">
        <v>43</v>
      </c>
      <c r="O48" s="28" t="s">
        <v>43</v>
      </c>
      <c r="P48" s="28" t="s">
        <v>43</v>
      </c>
      <c r="Q48" s="28" t="s">
        <v>43</v>
      </c>
      <c r="R48" s="28" t="s">
        <v>43</v>
      </c>
      <c r="S48" s="28" t="s">
        <v>43</v>
      </c>
      <c r="T48" s="28" t="s">
        <v>43</v>
      </c>
      <c r="U48" s="28" t="s">
        <v>43</v>
      </c>
    </row>
    <row r="49" spans="2:21" x14ac:dyDescent="0.25">
      <c r="B49" s="13" t="str">
        <f>B36</f>
        <v>Investment cash flow</v>
      </c>
      <c r="C49" s="13"/>
      <c r="D49" s="13"/>
      <c r="E49" s="14"/>
      <c r="F49" s="14"/>
      <c r="G49" s="13"/>
      <c r="H49" s="14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2:21" x14ac:dyDescent="0.25">
      <c r="B50" s="18" t="s">
        <v>10</v>
      </c>
      <c r="E50" s="3"/>
      <c r="F50" s="3"/>
      <c r="H50" s="2"/>
      <c r="J50" s="22">
        <f t="shared" ref="J50:T50" si="12">(J$47&lt;$F$12)*J37+(J$47&gt;=$F$12)*J17</f>
        <v>10000000</v>
      </c>
      <c r="K50" s="22">
        <f t="shared" si="12"/>
        <v>0</v>
      </c>
      <c r="L50" s="22">
        <f t="shared" si="12"/>
        <v>0</v>
      </c>
      <c r="M50" s="22">
        <f t="shared" si="12"/>
        <v>0</v>
      </c>
      <c r="N50" s="22">
        <f t="shared" si="12"/>
        <v>0</v>
      </c>
      <c r="O50" s="22">
        <f t="shared" si="12"/>
        <v>0</v>
      </c>
      <c r="P50" s="22">
        <f t="shared" si="12"/>
        <v>0</v>
      </c>
      <c r="Q50" s="22">
        <f t="shared" si="12"/>
        <v>0</v>
      </c>
      <c r="R50" s="22">
        <f t="shared" si="12"/>
        <v>0</v>
      </c>
      <c r="S50" s="22">
        <f t="shared" si="12"/>
        <v>0</v>
      </c>
      <c r="T50" s="22">
        <f t="shared" si="12"/>
        <v>0</v>
      </c>
    </row>
    <row r="51" spans="2:21" ht="16.149999999999999" customHeight="1" x14ac:dyDescent="0.4">
      <c r="B51" s="18" t="s">
        <v>14</v>
      </c>
      <c r="E51" s="3"/>
      <c r="F51" s="3"/>
      <c r="H51" s="5"/>
      <c r="J51" s="4">
        <f t="shared" ref="J51:T51" si="13">(J$47&lt;$F$12)*J38+(J$47&gt;=$F$12)*J18</f>
        <v>200000</v>
      </c>
      <c r="K51" s="4">
        <f t="shared" si="13"/>
        <v>0</v>
      </c>
      <c r="L51" s="4">
        <f t="shared" si="13"/>
        <v>0</v>
      </c>
      <c r="M51" s="4">
        <f t="shared" si="13"/>
        <v>0</v>
      </c>
      <c r="N51" s="4">
        <f t="shared" si="13"/>
        <v>0</v>
      </c>
      <c r="O51" s="4">
        <f t="shared" si="13"/>
        <v>0</v>
      </c>
      <c r="P51" s="4">
        <f t="shared" si="13"/>
        <v>0</v>
      </c>
      <c r="Q51" s="4">
        <f t="shared" si="13"/>
        <v>0</v>
      </c>
      <c r="R51" s="4">
        <f t="shared" si="13"/>
        <v>0</v>
      </c>
      <c r="S51" s="4">
        <f t="shared" si="13"/>
        <v>0</v>
      </c>
      <c r="T51" s="4">
        <f t="shared" si="13"/>
        <v>0</v>
      </c>
    </row>
    <row r="52" spans="2:21" x14ac:dyDescent="0.25">
      <c r="B52" t="s">
        <v>25</v>
      </c>
      <c r="H52" s="22"/>
      <c r="J52" s="22">
        <f t="shared" ref="J52:T52" si="14">SUM(J50:J51)</f>
        <v>10200000</v>
      </c>
      <c r="K52" s="22">
        <f t="shared" si="14"/>
        <v>0</v>
      </c>
      <c r="L52" s="22">
        <f t="shared" si="14"/>
        <v>0</v>
      </c>
      <c r="M52" s="22">
        <f t="shared" si="14"/>
        <v>0</v>
      </c>
      <c r="N52" s="22">
        <f t="shared" si="14"/>
        <v>0</v>
      </c>
      <c r="O52" s="22">
        <f t="shared" si="14"/>
        <v>0</v>
      </c>
      <c r="P52" s="22">
        <f t="shared" si="14"/>
        <v>0</v>
      </c>
      <c r="Q52" s="22">
        <f t="shared" si="14"/>
        <v>0</v>
      </c>
      <c r="R52" s="22">
        <f t="shared" si="14"/>
        <v>0</v>
      </c>
      <c r="S52" s="22">
        <f t="shared" si="14"/>
        <v>0</v>
      </c>
      <c r="T52" s="22">
        <f t="shared" si="14"/>
        <v>0</v>
      </c>
    </row>
    <row r="53" spans="2:21" x14ac:dyDescent="0.25">
      <c r="B53" s="13" t="str">
        <f>B39</f>
        <v>Operating cash flow</v>
      </c>
      <c r="C53" s="13"/>
      <c r="D53" s="13"/>
      <c r="E53" s="14"/>
      <c r="F53" s="14"/>
      <c r="G53" s="13"/>
      <c r="H53" s="14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2:21" x14ac:dyDescent="0.25">
      <c r="B54" t="s">
        <v>27</v>
      </c>
      <c r="F54" s="1"/>
      <c r="G54" s="1"/>
      <c r="H54" s="2"/>
      <c r="J54" s="22">
        <f t="shared" ref="J54:U54" si="15">(J$47&lt;$F$12)*J40+(J$47&gt;=$F$12)*J22</f>
        <v>0</v>
      </c>
      <c r="K54" s="22">
        <f t="shared" si="15"/>
        <v>450000</v>
      </c>
      <c r="L54" s="22">
        <f t="shared" si="15"/>
        <v>470000</v>
      </c>
      <c r="M54" s="22">
        <f t="shared" si="15"/>
        <v>500000</v>
      </c>
      <c r="N54" s="22">
        <f t="shared" si="15"/>
        <v>550000</v>
      </c>
      <c r="O54" s="22">
        <f t="shared" si="15"/>
        <v>541216.07999999996</v>
      </c>
      <c r="P54" s="22">
        <f t="shared" si="15"/>
        <v>552040.40159999998</v>
      </c>
      <c r="Q54" s="22">
        <f t="shared" si="15"/>
        <v>563081.20963200007</v>
      </c>
      <c r="R54" s="22">
        <f t="shared" si="15"/>
        <v>574342.83382463991</v>
      </c>
      <c r="S54" s="22">
        <f t="shared" si="15"/>
        <v>585829.69050113275</v>
      </c>
      <c r="T54" s="22">
        <f t="shared" si="15"/>
        <v>597546.28431115544</v>
      </c>
      <c r="U54" s="22">
        <f t="shared" si="15"/>
        <v>609497.20999737852</v>
      </c>
    </row>
    <row r="55" spans="2:21" ht="16.149999999999999" customHeight="1" x14ac:dyDescent="0.4">
      <c r="B55" s="18" t="s">
        <v>29</v>
      </c>
      <c r="F55" s="1"/>
      <c r="H55" s="4"/>
      <c r="J55" s="4">
        <f t="shared" ref="J55:T55" si="16">(J$47&lt;$F$12)*J41+(J$47&gt;=$F$12)*J24</f>
        <v>0</v>
      </c>
      <c r="K55" s="4">
        <f t="shared" si="16"/>
        <v>6750</v>
      </c>
      <c r="L55" s="4">
        <f t="shared" si="16"/>
        <v>7050</v>
      </c>
      <c r="M55" s="4">
        <f t="shared" si="16"/>
        <v>7500</v>
      </c>
      <c r="N55" s="4">
        <f t="shared" si="16"/>
        <v>8250</v>
      </c>
      <c r="O55" s="4">
        <f t="shared" si="16"/>
        <v>8118.2411999999995</v>
      </c>
      <c r="P55" s="4">
        <f t="shared" si="16"/>
        <v>8280.6060239999988</v>
      </c>
      <c r="Q55" s="4">
        <f t="shared" si="16"/>
        <v>8446.2181444800008</v>
      </c>
      <c r="R55" s="4">
        <f t="shared" si="16"/>
        <v>8615.1425073695991</v>
      </c>
      <c r="S55" s="4">
        <f t="shared" si="16"/>
        <v>8787.44535751699</v>
      </c>
      <c r="T55" s="4">
        <f t="shared" si="16"/>
        <v>8963.1942646673306</v>
      </c>
      <c r="U55" s="22"/>
    </row>
    <row r="56" spans="2:21" x14ac:dyDescent="0.25">
      <c r="B56" t="s">
        <v>41</v>
      </c>
      <c r="H56" s="22"/>
      <c r="J56" s="22">
        <f t="shared" ref="J56:T56" si="17">J54-J55</f>
        <v>0</v>
      </c>
      <c r="K56" s="22">
        <f t="shared" si="17"/>
        <v>443250</v>
      </c>
      <c r="L56" s="22">
        <f t="shared" si="17"/>
        <v>462950</v>
      </c>
      <c r="M56" s="22">
        <f t="shared" si="17"/>
        <v>492500</v>
      </c>
      <c r="N56" s="22">
        <f t="shared" si="17"/>
        <v>541750</v>
      </c>
      <c r="O56" s="22">
        <f t="shared" si="17"/>
        <v>533097.83879999991</v>
      </c>
      <c r="P56" s="22">
        <f t="shared" si="17"/>
        <v>543759.795576</v>
      </c>
      <c r="Q56" s="22">
        <f t="shared" si="17"/>
        <v>554634.99148752005</v>
      </c>
      <c r="R56" s="22">
        <f t="shared" si="17"/>
        <v>565727.69131727028</v>
      </c>
      <c r="S56" s="22">
        <f t="shared" si="17"/>
        <v>577042.24514361576</v>
      </c>
      <c r="T56" s="22">
        <f t="shared" si="17"/>
        <v>588583.0900464881</v>
      </c>
      <c r="U56" s="22"/>
    </row>
    <row r="57" spans="2:21" x14ac:dyDescent="0.25">
      <c r="B57" s="25" t="s">
        <v>30</v>
      </c>
      <c r="H57" s="22"/>
      <c r="J57" s="22"/>
      <c r="K57" s="17">
        <f>K56/SUM($J$52:J52)</f>
        <v>4.3455882352941178E-2</v>
      </c>
      <c r="L57" s="17">
        <f>L56/SUM($J$52:K52)</f>
        <v>4.5387254901960786E-2</v>
      </c>
      <c r="M57" s="17">
        <f>M56/SUM($J$52:L52)</f>
        <v>4.8284313725490198E-2</v>
      </c>
      <c r="N57" s="17">
        <f>N56/SUM($J$52:M52)</f>
        <v>5.3112745098039219E-2</v>
      </c>
      <c r="O57" s="17">
        <f>O56/SUM($J$52:N52)</f>
        <v>5.2264493999999995E-2</v>
      </c>
      <c r="P57" s="17">
        <f>P56/SUM($J$52:O52)</f>
        <v>5.3309783880000003E-2</v>
      </c>
      <c r="Q57" s="17">
        <f>Q56/SUM($J$52:P52)</f>
        <v>5.4375979557600006E-2</v>
      </c>
      <c r="R57" s="17">
        <f>R56/SUM($J$52:Q52)</f>
        <v>5.5463499148751989E-2</v>
      </c>
      <c r="S57" s="17">
        <f>S56/SUM($J$52:R52)</f>
        <v>5.6572769131727034E-2</v>
      </c>
      <c r="T57" s="17">
        <f>T56/SUM($J$52:S52)</f>
        <v>5.770422451436158E-2</v>
      </c>
      <c r="U57" s="22"/>
    </row>
    <row r="58" spans="2:21" x14ac:dyDescent="0.25">
      <c r="B58" s="13" t="str">
        <f>B42</f>
        <v>Terminal cash flow</v>
      </c>
      <c r="C58" s="13"/>
      <c r="D58" s="13"/>
      <c r="E58" s="14"/>
      <c r="F58" s="14"/>
      <c r="G58" s="13"/>
      <c r="H58" s="14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2:21" x14ac:dyDescent="0.25">
      <c r="B59" t="s">
        <v>34</v>
      </c>
      <c r="E59" s="1"/>
      <c r="F59" s="3"/>
      <c r="H59" s="22"/>
      <c r="J59" s="22">
        <f t="shared" ref="J59:T59" ca="1" si="18">(J$47&lt;$F$12)*J43+(J$47&gt;=$F$12)*J28</f>
        <v>0</v>
      </c>
      <c r="K59" s="22">
        <f t="shared" ca="1" si="18"/>
        <v>0</v>
      </c>
      <c r="L59" s="22">
        <f t="shared" ca="1" si="18"/>
        <v>0</v>
      </c>
      <c r="M59" s="22">
        <f t="shared" ca="1" si="18"/>
        <v>0</v>
      </c>
      <c r="N59" s="22">
        <f t="shared" ca="1" si="18"/>
        <v>0</v>
      </c>
      <c r="O59" s="22">
        <f t="shared" ca="1" si="18"/>
        <v>0</v>
      </c>
      <c r="P59" s="22">
        <f t="shared" ca="1" si="18"/>
        <v>0</v>
      </c>
      <c r="Q59" s="22">
        <f t="shared" ca="1" si="18"/>
        <v>0</v>
      </c>
      <c r="R59" s="22">
        <f t="shared" ca="1" si="18"/>
        <v>0</v>
      </c>
      <c r="S59" s="22">
        <f t="shared" ca="1" si="18"/>
        <v>0</v>
      </c>
      <c r="T59" s="22">
        <f t="shared" ca="1" si="18"/>
        <v>12189944.19994757</v>
      </c>
    </row>
    <row r="60" spans="2:21" ht="16.149999999999999" customHeight="1" x14ac:dyDescent="0.4">
      <c r="B60" s="18" t="s">
        <v>23</v>
      </c>
      <c r="F60" s="1"/>
      <c r="H60" s="4"/>
      <c r="J60" s="4">
        <f t="shared" ref="J60:T60" ca="1" si="19">(J$47&lt;$F$12)*J44+(J$47&gt;=$F$12)*J29</f>
        <v>0</v>
      </c>
      <c r="K60" s="4">
        <f t="shared" ca="1" si="19"/>
        <v>0</v>
      </c>
      <c r="L60" s="4">
        <f t="shared" ca="1" si="19"/>
        <v>0</v>
      </c>
      <c r="M60" s="4">
        <f t="shared" ca="1" si="19"/>
        <v>0</v>
      </c>
      <c r="N60" s="4">
        <f t="shared" ca="1" si="19"/>
        <v>0</v>
      </c>
      <c r="O60" s="4">
        <f t="shared" ca="1" si="19"/>
        <v>0</v>
      </c>
      <c r="P60" s="4">
        <f t="shared" ca="1" si="19"/>
        <v>0</v>
      </c>
      <c r="Q60" s="4">
        <f t="shared" ca="1" si="19"/>
        <v>0</v>
      </c>
      <c r="R60" s="4">
        <f t="shared" ca="1" si="19"/>
        <v>0</v>
      </c>
      <c r="S60" s="4">
        <f t="shared" ca="1" si="19"/>
        <v>0</v>
      </c>
      <c r="T60" s="4">
        <f t="shared" ca="1" si="19"/>
        <v>-243798.88399895141</v>
      </c>
    </row>
    <row r="61" spans="2:21" x14ac:dyDescent="0.25">
      <c r="B61" t="s">
        <v>36</v>
      </c>
      <c r="H61" s="22"/>
      <c r="J61" s="22">
        <f t="shared" ref="J61:T61" ca="1" si="20">SUM(J59:J60)</f>
        <v>0</v>
      </c>
      <c r="K61" s="22">
        <f t="shared" ca="1" si="20"/>
        <v>0</v>
      </c>
      <c r="L61" s="22">
        <f t="shared" ca="1" si="20"/>
        <v>0</v>
      </c>
      <c r="M61" s="22">
        <f t="shared" ca="1" si="20"/>
        <v>0</v>
      </c>
      <c r="N61" s="22">
        <f t="shared" ca="1" si="20"/>
        <v>0</v>
      </c>
      <c r="O61" s="22">
        <f t="shared" ca="1" si="20"/>
        <v>0</v>
      </c>
      <c r="P61" s="22">
        <f t="shared" ca="1" si="20"/>
        <v>0</v>
      </c>
      <c r="Q61" s="22">
        <f t="shared" ca="1" si="20"/>
        <v>0</v>
      </c>
      <c r="R61" s="22">
        <f t="shared" ca="1" si="20"/>
        <v>0</v>
      </c>
      <c r="S61" s="22">
        <f t="shared" ca="1" si="20"/>
        <v>0</v>
      </c>
      <c r="T61" s="22">
        <f t="shared" ca="1" si="20"/>
        <v>11946145.315948619</v>
      </c>
    </row>
    <row r="62" spans="2:21" x14ac:dyDescent="0.25">
      <c r="B62" s="13" t="str">
        <f>B31</f>
        <v>Net Cash Flow Without Leverage</v>
      </c>
      <c r="C62" s="13"/>
      <c r="D62" s="13"/>
      <c r="E62" s="14"/>
      <c r="F62" s="14"/>
      <c r="G62" s="13"/>
      <c r="H62" s="14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2:21" x14ac:dyDescent="0.25">
      <c r="J63" s="22">
        <f ca="1">IF(J47&lt;=$F$10,-J52+J56+J61,"")</f>
        <v>-10200000</v>
      </c>
      <c r="K63" s="22">
        <f t="shared" ref="K63:T63" ca="1" si="21">IF(K47&lt;=$F$10,-K52+K56+K61,"")</f>
        <v>443250</v>
      </c>
      <c r="L63" s="22">
        <f t="shared" ca="1" si="21"/>
        <v>462950</v>
      </c>
      <c r="M63" s="22">
        <f t="shared" ca="1" si="21"/>
        <v>492500</v>
      </c>
      <c r="N63" s="22">
        <f t="shared" ca="1" si="21"/>
        <v>541750</v>
      </c>
      <c r="O63" s="22">
        <f t="shared" ca="1" si="21"/>
        <v>533097.83879999991</v>
      </c>
      <c r="P63" s="22">
        <f t="shared" ca="1" si="21"/>
        <v>543759.795576</v>
      </c>
      <c r="Q63" s="22">
        <f t="shared" ca="1" si="21"/>
        <v>554634.99148752005</v>
      </c>
      <c r="R63" s="22">
        <f t="shared" ca="1" si="21"/>
        <v>565727.69131727028</v>
      </c>
      <c r="S63" s="22">
        <f t="shared" ca="1" si="21"/>
        <v>577042.24514361576</v>
      </c>
      <c r="T63" s="22">
        <f t="shared" ca="1" si="21"/>
        <v>12534728.405995106</v>
      </c>
    </row>
    <row r="64" spans="2:21" x14ac:dyDescent="0.25"/>
    <row r="65" spans="2:21" x14ac:dyDescent="0.25">
      <c r="B65" s="10"/>
      <c r="C65" s="9"/>
      <c r="D65" s="9"/>
      <c r="E65" s="9"/>
      <c r="F65" s="11"/>
      <c r="G65" s="47"/>
      <c r="H65" s="4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</sheetData>
  <mergeCells count="2">
    <mergeCell ref="G46:H46"/>
    <mergeCell ref="G65:H65"/>
  </mergeCells>
  <conditionalFormatting sqref="J37:U38 J40:U41 J43:U44">
    <cfRule type="expression" dxfId="5" priority="141">
      <formula>J$35&gt;=$F$12</formula>
    </cfRule>
  </conditionalFormatting>
  <conditionalFormatting sqref="L15:U15 L21:U22">
    <cfRule type="expression" dxfId="4" priority="162">
      <formula>L$14=$F$11</formula>
    </cfRule>
  </conditionalFormatting>
  <conditionalFormatting sqref="L17:U19 L23:U26 L28:T30 U32">
    <cfRule type="expression" dxfId="3" priority="144">
      <formula>L$14=$F$11</formula>
    </cfRule>
  </conditionalFormatting>
  <conditionalFormatting sqref="L48:U48 L54:U54">
    <cfRule type="expression" dxfId="2" priority="164">
      <formula>L$47=$F$11</formula>
    </cfRule>
  </conditionalFormatting>
  <conditionalFormatting sqref="L50:U52 L54:U57 L59:U61 U63 L17:U19 L21:U26 L28:U30 U32 L15:U15 L48:U48">
    <cfRule type="expression" dxfId="1" priority="152">
      <formula>L$14&gt;$F$11</formula>
    </cfRule>
  </conditionalFormatting>
  <conditionalFormatting sqref="L50:U52 L55:U57 L59:U61 U63">
    <cfRule type="expression" dxfId="0" priority="148">
      <formula>L$47=$F$11</formula>
    </cfRule>
  </conditionalFormatting>
  <dataValidations disablePrompts="1" count="2">
    <dataValidation type="list" allowBlank="1" showInputMessage="1" showErrorMessage="1" sqref="F10" xr:uid="{00000000-0002-0000-0100-000000000000}">
      <formula1>$K$14:$T$14</formula1>
    </dataValidation>
    <dataValidation type="list" allowBlank="1" showInputMessage="1" showErrorMessage="1" sqref="F12" xr:uid="{00000000-0002-0000-0100-000001000000}">
      <formula1>Current_Year_List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 (Actual+Projection)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Parada</dc:creator>
  <cp:lastModifiedBy>Pragya Verma</cp:lastModifiedBy>
  <dcterms:created xsi:type="dcterms:W3CDTF">2025-01-17T14:55:01Z</dcterms:created>
  <dcterms:modified xsi:type="dcterms:W3CDTF">2025-10-23T06:54:10Z</dcterms:modified>
</cp:coreProperties>
</file>