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prakh\Downloads\"/>
    </mc:Choice>
  </mc:AlternateContent>
  <xr:revisionPtr revIDLastSave="0" documentId="13_ncr:1_{5FDA641B-41AE-4883-9AD9-2B55B3751CA7}" xr6:coauthVersionLast="47" xr6:coauthVersionMax="47" xr10:uidLastSave="{00000000-0000-0000-0000-000000000000}"/>
  <bookViews>
    <workbookView xWindow="-110" yWindow="-110" windowWidth="19420" windowHeight="11020" xr2:uid="{89883DB2-E431-4690-9150-C01C421C7EC4}"/>
  </bookViews>
  <sheets>
    <sheet name="Rd" sheetId="11" r:id="rId1"/>
    <sheet name="Rf" sheetId="1" r:id="rId2"/>
    <sheet name="Histbeta" sheetId="2" r:id="rId3"/>
    <sheet name="bupbeta" sheetId="3" r:id="rId4"/>
    <sheet name="Nestle" sheetId="4" r:id="rId5"/>
    <sheet name="VarunBvg" sheetId="5" r:id="rId6"/>
    <sheet name="Godrej" sheetId="6" r:id="rId7"/>
    <sheet name="Britania" sheetId="7" r:id="rId8"/>
    <sheet name="dabur" sheetId="8" r:id="rId9"/>
    <sheet name="Rm" sheetId="9" r:id="rId10"/>
    <sheet name="Re" sheetId="10" r:id="rId11"/>
    <sheet name="WACC" sheetId="12" r:id="rId12"/>
    <sheet name="Valuation" sheetId="13" r:id="rId13"/>
    <sheet name="BS" sheetId="14" r:id="rId14"/>
    <sheet name="CF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13" l="1"/>
  <c r="C38" i="13"/>
  <c r="D38" i="13"/>
  <c r="G7" i="3"/>
  <c r="G8" i="3"/>
  <c r="G9" i="3"/>
  <c r="G10" i="3"/>
  <c r="G6" i="3"/>
  <c r="F66" i="13"/>
  <c r="E66" i="13"/>
  <c r="D66" i="13"/>
  <c r="C66" i="13"/>
  <c r="D64" i="13"/>
  <c r="E64" i="13"/>
  <c r="F64" i="13"/>
  <c r="C64" i="13"/>
  <c r="I65" i="13"/>
  <c r="J65" i="13"/>
  <c r="K65" i="13"/>
  <c r="G65" i="13"/>
  <c r="H65" i="13"/>
  <c r="D63" i="13"/>
  <c r="E63" i="13" s="1"/>
  <c r="F63" i="13" s="1"/>
  <c r="G63" i="13" s="1"/>
  <c r="H63" i="13" s="1"/>
  <c r="I63" i="13" s="1"/>
  <c r="J63" i="13" s="1"/>
  <c r="K63" i="13" s="1"/>
  <c r="I56" i="13"/>
  <c r="J56" i="13" s="1"/>
  <c r="H56" i="13"/>
  <c r="G56" i="13"/>
  <c r="D39" i="13"/>
  <c r="E39" i="13"/>
  <c r="F39" i="13"/>
  <c r="C39" i="13"/>
  <c r="D59" i="13"/>
  <c r="E59" i="13"/>
  <c r="F59" i="13"/>
  <c r="C59" i="13"/>
  <c r="I54" i="13"/>
  <c r="J54" i="13"/>
  <c r="K54" i="13"/>
  <c r="H54" i="13"/>
  <c r="G54" i="13"/>
  <c r="D58" i="13"/>
  <c r="E58" i="13"/>
  <c r="F58" i="13"/>
  <c r="C58" i="13"/>
  <c r="D57" i="13"/>
  <c r="E57" i="13"/>
  <c r="F57" i="13"/>
  <c r="C57" i="13"/>
  <c r="F56" i="13"/>
  <c r="E56" i="13"/>
  <c r="D56" i="13"/>
  <c r="C56" i="13"/>
  <c r="F55" i="13"/>
  <c r="E55" i="13"/>
  <c r="D55" i="13"/>
  <c r="C55" i="13"/>
  <c r="F54" i="13"/>
  <c r="E54" i="13"/>
  <c r="D54" i="13"/>
  <c r="C54" i="13"/>
  <c r="E53" i="13"/>
  <c r="F53" i="13"/>
  <c r="G53" i="13"/>
  <c r="H53" i="13" s="1"/>
  <c r="I53" i="13" s="1"/>
  <c r="J53" i="13" s="1"/>
  <c r="K53" i="13" s="1"/>
  <c r="D53" i="13"/>
  <c r="K56" i="13" l="1"/>
  <c r="C36" i="13" l="1"/>
  <c r="G46" i="13"/>
  <c r="F46" i="13"/>
  <c r="E46" i="13"/>
  <c r="D46" i="13"/>
  <c r="C46" i="13"/>
  <c r="E6" i="13"/>
  <c r="F6" i="13"/>
  <c r="D6" i="13"/>
  <c r="M47" i="13"/>
  <c r="H47" i="13"/>
  <c r="I47" i="13"/>
  <c r="J47" i="13"/>
  <c r="K47" i="13"/>
  <c r="L47" i="13"/>
  <c r="G45" i="13"/>
  <c r="F45" i="13"/>
  <c r="E45" i="13"/>
  <c r="D45" i="13"/>
  <c r="D47" i="13" s="1"/>
  <c r="D49" i="13" s="1"/>
  <c r="C45" i="13"/>
  <c r="D44" i="13"/>
  <c r="E44" i="13" s="1"/>
  <c r="F44" i="13" s="1"/>
  <c r="G44" i="13" s="1"/>
  <c r="H44" i="13" s="1"/>
  <c r="I44" i="13" s="1"/>
  <c r="J44" i="13" s="1"/>
  <c r="K44" i="13" s="1"/>
  <c r="L44" i="13" s="1"/>
  <c r="M44" i="13" s="1"/>
  <c r="G16" i="13"/>
  <c r="H16" i="13" s="1"/>
  <c r="G24" i="13"/>
  <c r="H24" i="13" s="1"/>
  <c r="H14" i="13"/>
  <c r="I14" i="13" s="1"/>
  <c r="F14" i="13"/>
  <c r="E14" i="13"/>
  <c r="D14" i="13"/>
  <c r="C14" i="13"/>
  <c r="G11" i="13"/>
  <c r="H11" i="13" s="1"/>
  <c r="I11" i="13" s="1"/>
  <c r="J11" i="13" s="1"/>
  <c r="K11" i="13" s="1"/>
  <c r="L11" i="13" s="1"/>
  <c r="D11" i="13"/>
  <c r="E11" i="13"/>
  <c r="F11" i="13"/>
  <c r="E9" i="13"/>
  <c r="F9" i="13"/>
  <c r="D9" i="13"/>
  <c r="C11" i="13"/>
  <c r="D4" i="13"/>
  <c r="E4" i="13" s="1"/>
  <c r="F4" i="13" s="1"/>
  <c r="G4" i="13" s="1"/>
  <c r="H4" i="13" s="1"/>
  <c r="I4" i="13" s="1"/>
  <c r="J4" i="13" s="1"/>
  <c r="K4" i="13" s="1"/>
  <c r="L4" i="13" s="1"/>
  <c r="D25" i="13"/>
  <c r="E25" i="13"/>
  <c r="F25" i="13"/>
  <c r="C25" i="13"/>
  <c r="B22" i="13"/>
  <c r="D15" i="13"/>
  <c r="D17" i="13" s="1"/>
  <c r="D19" i="13" s="1"/>
  <c r="E15" i="13"/>
  <c r="E17" i="13" s="1"/>
  <c r="E19" i="13" s="1"/>
  <c r="F15" i="13"/>
  <c r="F17" i="13" s="1"/>
  <c r="F19" i="13" s="1"/>
  <c r="C15" i="13"/>
  <c r="C17" i="13" s="1"/>
  <c r="C19" i="13" s="1"/>
  <c r="C47" i="13" l="1"/>
  <c r="D48" i="13" s="1"/>
  <c r="K36" i="13"/>
  <c r="J36" i="13"/>
  <c r="I36" i="13"/>
  <c r="H36" i="13"/>
  <c r="G36" i="13"/>
  <c r="F36" i="13"/>
  <c r="E36" i="13"/>
  <c r="D36" i="13"/>
  <c r="G47" i="13"/>
  <c r="F47" i="13"/>
  <c r="E47" i="13"/>
  <c r="E48" i="13" s="1"/>
  <c r="G6" i="13"/>
  <c r="G5" i="13" s="1"/>
  <c r="G19" i="13"/>
  <c r="H19" i="13" s="1"/>
  <c r="I19" i="13" s="1"/>
  <c r="J19" i="13" s="1"/>
  <c r="K19" i="13" s="1"/>
  <c r="I24" i="13"/>
  <c r="I16" i="13"/>
  <c r="J16" i="13" s="1"/>
  <c r="G25" i="13"/>
  <c r="J14" i="13"/>
  <c r="C22" i="13"/>
  <c r="C37" i="13" s="1"/>
  <c r="F22" i="13"/>
  <c r="F37" i="13" s="1"/>
  <c r="D22" i="13"/>
  <c r="D37" i="13" s="1"/>
  <c r="E22" i="13"/>
  <c r="E37" i="13" s="1"/>
  <c r="F48" i="13" l="1"/>
  <c r="E26" i="13" s="1"/>
  <c r="E27" i="13" s="1"/>
  <c r="E38" i="13" s="1"/>
  <c r="E40" i="13" s="1"/>
  <c r="D26" i="13"/>
  <c r="D27" i="13" s="1"/>
  <c r="D40" i="13" s="1"/>
  <c r="E49" i="13"/>
  <c r="G48" i="13"/>
  <c r="G49" i="13" s="1"/>
  <c r="H6" i="13"/>
  <c r="I6" i="13" s="1"/>
  <c r="J6" i="13" s="1"/>
  <c r="K6" i="13" s="1"/>
  <c r="L6" i="13" s="1"/>
  <c r="F26" i="13"/>
  <c r="F27" i="13" s="1"/>
  <c r="F40" i="13" s="1"/>
  <c r="G8" i="13" s="1"/>
  <c r="G7" i="13" s="1"/>
  <c r="H5" i="13"/>
  <c r="I5" i="13" s="1"/>
  <c r="J5" i="13" s="1"/>
  <c r="K5" i="13" s="1"/>
  <c r="L5" i="13" s="1"/>
  <c r="C26" i="13"/>
  <c r="C27" i="13" s="1"/>
  <c r="K16" i="13"/>
  <c r="L16" i="13" s="1"/>
  <c r="H25" i="13"/>
  <c r="J24" i="13"/>
  <c r="K14" i="13"/>
  <c r="F49" i="13" l="1"/>
  <c r="H49" i="13"/>
  <c r="H48" i="13" s="1"/>
  <c r="G26" i="13" s="1"/>
  <c r="G27" i="13" s="1"/>
  <c r="C40" i="13"/>
  <c r="I25" i="13"/>
  <c r="K24" i="13"/>
  <c r="L24" i="13" s="1"/>
  <c r="L14" i="13"/>
  <c r="G9" i="13"/>
  <c r="G10" i="13"/>
  <c r="G12" i="13" s="1"/>
  <c r="G13" i="13" s="1"/>
  <c r="G15" i="13" s="1"/>
  <c r="G58" i="13" s="1"/>
  <c r="I49" i="13" l="1"/>
  <c r="J25" i="13"/>
  <c r="G22" i="13"/>
  <c r="G37" i="13" s="1"/>
  <c r="G17" i="13"/>
  <c r="G29" i="13"/>
  <c r="J49" i="13" l="1"/>
  <c r="K49" i="13" s="1"/>
  <c r="L49" i="13" s="1"/>
  <c r="I48" i="13"/>
  <c r="H26" i="13" s="1"/>
  <c r="H27" i="13" s="1"/>
  <c r="K25" i="13"/>
  <c r="G18" i="13"/>
  <c r="G20" i="13" s="1"/>
  <c r="G38" i="13"/>
  <c r="G64" i="13" l="1"/>
  <c r="G66" i="13"/>
  <c r="G55" i="13" s="1"/>
  <c r="G57" i="13" s="1"/>
  <c r="G59" i="13" s="1"/>
  <c r="G39" i="13" s="1"/>
  <c r="M49" i="13"/>
  <c r="J48" i="13"/>
  <c r="I26" i="13" s="1"/>
  <c r="I27" i="13" s="1"/>
  <c r="L48" i="13"/>
  <c r="K26" i="13" s="1"/>
  <c r="K27" i="13" s="1"/>
  <c r="G40" i="13"/>
  <c r="H8" i="13" s="1"/>
  <c r="L25" i="13"/>
  <c r="K48" i="13" l="1"/>
  <c r="J26" i="13" s="1"/>
  <c r="J27" i="13" s="1"/>
  <c r="M48" i="13"/>
  <c r="L26" i="13" s="1"/>
  <c r="L27" i="13" s="1"/>
  <c r="H10" i="13"/>
  <c r="H12" i="13" s="1"/>
  <c r="H13" i="13" s="1"/>
  <c r="H15" i="13" s="1"/>
  <c r="H7" i="13"/>
  <c r="H9" i="13"/>
  <c r="H22" i="13" l="1"/>
  <c r="H37" i="13" s="1"/>
  <c r="H58" i="13"/>
  <c r="H29" i="13"/>
  <c r="H30" i="13" s="1"/>
  <c r="H17" i="13"/>
  <c r="H18" i="13" s="1"/>
  <c r="H20" i="13" s="1"/>
  <c r="H38" i="13"/>
  <c r="H64" i="13" l="1"/>
  <c r="H66" i="13"/>
  <c r="H55" i="13" s="1"/>
  <c r="H57" i="13" s="1"/>
  <c r="H59" i="13" s="1"/>
  <c r="H39" i="13" s="1"/>
  <c r="H40" i="13" s="1"/>
  <c r="I8" i="13" s="1"/>
  <c r="I7" i="13" s="1"/>
  <c r="I9" i="13" l="1"/>
  <c r="I10" i="13"/>
  <c r="I12" i="13" s="1"/>
  <c r="I13" i="13" s="1"/>
  <c r="I15" i="13" s="1"/>
  <c r="I58" i="13" s="1"/>
  <c r="I22" i="13" l="1"/>
  <c r="I37" i="13" s="1"/>
  <c r="I17" i="13"/>
  <c r="I29" i="13"/>
  <c r="I30" i="13" s="1"/>
  <c r="I18" i="13" l="1"/>
  <c r="I20" i="13" s="1"/>
  <c r="I38" i="13"/>
  <c r="I64" i="13" l="1"/>
  <c r="I66" i="13"/>
  <c r="I55" i="13" s="1"/>
  <c r="I57" i="13" s="1"/>
  <c r="I59" i="13" s="1"/>
  <c r="I39" i="13" s="1"/>
  <c r="I40" i="13"/>
  <c r="J8" i="13" s="1"/>
  <c r="J7" i="13" s="1"/>
  <c r="J10" i="13" l="1"/>
  <c r="J12" i="13" s="1"/>
  <c r="J13" i="13" s="1"/>
  <c r="J15" i="13" s="1"/>
  <c r="J58" i="13" s="1"/>
  <c r="J9" i="13"/>
  <c r="C8" i="12"/>
  <c r="C12" i="12"/>
  <c r="C9" i="12"/>
  <c r="C11" i="12" s="1"/>
  <c r="C11" i="11"/>
  <c r="C10" i="11"/>
  <c r="C9" i="11"/>
  <c r="C8" i="10"/>
  <c r="E28" i="9"/>
  <c r="C10" i="10" s="1"/>
  <c r="C11" i="10" s="1"/>
  <c r="K21" i="9"/>
  <c r="J21" i="9"/>
  <c r="W210" i="9"/>
  <c r="W209" i="9"/>
  <c r="W208" i="9"/>
  <c r="W207" i="9"/>
  <c r="W206" i="9"/>
  <c r="W205" i="9"/>
  <c r="W204" i="9"/>
  <c r="W203" i="9"/>
  <c r="W202" i="9"/>
  <c r="W201" i="9"/>
  <c r="W200" i="9"/>
  <c r="W199" i="9"/>
  <c r="W198" i="9"/>
  <c r="W197" i="9"/>
  <c r="W196" i="9"/>
  <c r="W195" i="9"/>
  <c r="W194" i="9"/>
  <c r="W193" i="9"/>
  <c r="W192" i="9"/>
  <c r="W191" i="9"/>
  <c r="W190" i="9"/>
  <c r="W189" i="9"/>
  <c r="W188" i="9"/>
  <c r="W187" i="9"/>
  <c r="W186" i="9"/>
  <c r="W185" i="9"/>
  <c r="W184" i="9"/>
  <c r="W183" i="9"/>
  <c r="W182" i="9"/>
  <c r="W181" i="9"/>
  <c r="W180" i="9"/>
  <c r="W179" i="9"/>
  <c r="W178" i="9"/>
  <c r="W177" i="9"/>
  <c r="W176" i="9"/>
  <c r="W175" i="9"/>
  <c r="W174" i="9"/>
  <c r="W173" i="9"/>
  <c r="W172" i="9"/>
  <c r="W171" i="9"/>
  <c r="W170" i="9"/>
  <c r="W169" i="9"/>
  <c r="W168" i="9"/>
  <c r="W167" i="9"/>
  <c r="W166" i="9"/>
  <c r="W165" i="9"/>
  <c r="W164" i="9"/>
  <c r="W163" i="9"/>
  <c r="W162" i="9"/>
  <c r="W161" i="9"/>
  <c r="W160" i="9"/>
  <c r="W159" i="9"/>
  <c r="W158" i="9"/>
  <c r="W157" i="9"/>
  <c r="W156" i="9"/>
  <c r="W155" i="9"/>
  <c r="W154" i="9"/>
  <c r="W153" i="9"/>
  <c r="W152" i="9"/>
  <c r="W151" i="9"/>
  <c r="W150" i="9"/>
  <c r="W149" i="9"/>
  <c r="W148" i="9"/>
  <c r="W147" i="9"/>
  <c r="W146" i="9"/>
  <c r="W145" i="9"/>
  <c r="W144" i="9"/>
  <c r="W143" i="9"/>
  <c r="W142" i="9"/>
  <c r="W141" i="9"/>
  <c r="W140" i="9"/>
  <c r="W139" i="9"/>
  <c r="W138" i="9"/>
  <c r="W137" i="9"/>
  <c r="W136" i="9"/>
  <c r="W135" i="9"/>
  <c r="W134" i="9"/>
  <c r="W133" i="9"/>
  <c r="W132" i="9"/>
  <c r="W131" i="9"/>
  <c r="W130" i="9"/>
  <c r="W129" i="9"/>
  <c r="W128" i="9"/>
  <c r="W127" i="9"/>
  <c r="W126" i="9"/>
  <c r="W125" i="9"/>
  <c r="W124" i="9"/>
  <c r="W123" i="9"/>
  <c r="W122" i="9"/>
  <c r="W121" i="9"/>
  <c r="W120" i="9"/>
  <c r="W119" i="9"/>
  <c r="W118" i="9"/>
  <c r="W117" i="9"/>
  <c r="W116" i="9"/>
  <c r="W115" i="9"/>
  <c r="W114" i="9"/>
  <c r="W113" i="9"/>
  <c r="W112" i="9"/>
  <c r="W111" i="9"/>
  <c r="W110" i="9"/>
  <c r="W109" i="9"/>
  <c r="W108" i="9"/>
  <c r="W107" i="9"/>
  <c r="W106" i="9"/>
  <c r="W105" i="9"/>
  <c r="W104" i="9"/>
  <c r="W103" i="9"/>
  <c r="W102" i="9"/>
  <c r="W101" i="9"/>
  <c r="W100" i="9"/>
  <c r="W99" i="9"/>
  <c r="W98" i="9"/>
  <c r="W97" i="9"/>
  <c r="W96" i="9"/>
  <c r="W95" i="9"/>
  <c r="W94" i="9"/>
  <c r="W93" i="9"/>
  <c r="W92" i="9"/>
  <c r="W91" i="9"/>
  <c r="W90" i="9"/>
  <c r="W89" i="9"/>
  <c r="W88" i="9"/>
  <c r="W87" i="9"/>
  <c r="W86" i="9"/>
  <c r="W85" i="9"/>
  <c r="W84" i="9"/>
  <c r="W83" i="9"/>
  <c r="W82" i="9"/>
  <c r="W81" i="9"/>
  <c r="W80" i="9"/>
  <c r="W79" i="9"/>
  <c r="W78" i="9"/>
  <c r="W77" i="9"/>
  <c r="W76" i="9"/>
  <c r="W75" i="9"/>
  <c r="W74" i="9"/>
  <c r="W73" i="9"/>
  <c r="W72" i="9"/>
  <c r="W71" i="9"/>
  <c r="W70" i="9"/>
  <c r="W69" i="9"/>
  <c r="W68" i="9"/>
  <c r="W67" i="9"/>
  <c r="W66" i="9"/>
  <c r="W65" i="9"/>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Q10" i="9"/>
  <c r="D19" i="9" s="1"/>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9" i="9"/>
  <c r="C20" i="3"/>
  <c r="H13" i="3"/>
  <c r="I10" i="3"/>
  <c r="I9" i="3"/>
  <c r="I8" i="3"/>
  <c r="I7" i="3"/>
  <c r="I6" i="3"/>
  <c r="I14" i="3" s="1"/>
  <c r="H7" i="3"/>
  <c r="H8" i="3"/>
  <c r="H9" i="3"/>
  <c r="H10" i="3"/>
  <c r="H6" i="3"/>
  <c r="H14" i="3" s="1"/>
  <c r="G14" i="3"/>
  <c r="D21" i="9" l="1"/>
  <c r="D20" i="9"/>
  <c r="E29" i="9" s="1"/>
  <c r="J22" i="13"/>
  <c r="J37" i="13" s="1"/>
  <c r="J17" i="13"/>
  <c r="J29" i="13"/>
  <c r="J30" i="13" s="1"/>
  <c r="G13" i="3"/>
  <c r="J7" i="3"/>
  <c r="J8" i="3"/>
  <c r="J9" i="3"/>
  <c r="J10" i="3"/>
  <c r="J6" i="3"/>
  <c r="I13" i="3"/>
  <c r="J18" i="13" l="1"/>
  <c r="J20" i="13" s="1"/>
  <c r="J38" i="13"/>
  <c r="J13" i="3"/>
  <c r="J14" i="3"/>
  <c r="C22" i="3" s="1"/>
  <c r="C23" i="3" s="1"/>
  <c r="C9" i="10" s="1"/>
  <c r="C12" i="10" s="1"/>
  <c r="C13" i="12" s="1"/>
  <c r="C14" i="12" s="1"/>
  <c r="B31" i="13" s="1"/>
  <c r="G30" i="13" s="1"/>
  <c r="J64" i="13" l="1"/>
  <c r="J66" i="13"/>
  <c r="J55" i="13" s="1"/>
  <c r="J57" i="13" s="1"/>
  <c r="J59" i="13" s="1"/>
  <c r="J39" i="13" s="1"/>
  <c r="J40" i="13" s="1"/>
  <c r="K8" i="13" s="1"/>
  <c r="K7" i="13" s="1"/>
  <c r="M7" i="8"/>
  <c r="M8" i="8" s="1"/>
  <c r="H67" i="8"/>
  <c r="D67" i="8"/>
  <c r="H66" i="8"/>
  <c r="D66" i="8"/>
  <c r="H65" i="8"/>
  <c r="D65" i="8"/>
  <c r="H64" i="8"/>
  <c r="D64" i="8"/>
  <c r="H63" i="8"/>
  <c r="D63" i="8"/>
  <c r="H62" i="8"/>
  <c r="D62" i="8"/>
  <c r="H61" i="8"/>
  <c r="D61" i="8"/>
  <c r="H60" i="8"/>
  <c r="D60" i="8"/>
  <c r="H59" i="8"/>
  <c r="D59" i="8"/>
  <c r="H58" i="8"/>
  <c r="D58" i="8"/>
  <c r="H57" i="8"/>
  <c r="D57" i="8"/>
  <c r="H56" i="8"/>
  <c r="D56" i="8"/>
  <c r="H55" i="8"/>
  <c r="D55" i="8"/>
  <c r="H54" i="8"/>
  <c r="D54" i="8"/>
  <c r="H53" i="8"/>
  <c r="D53" i="8"/>
  <c r="H52" i="8"/>
  <c r="D52" i="8"/>
  <c r="H51" i="8"/>
  <c r="D51" i="8"/>
  <c r="H50" i="8"/>
  <c r="D50" i="8"/>
  <c r="H49" i="8"/>
  <c r="D49" i="8"/>
  <c r="H48" i="8"/>
  <c r="D48" i="8"/>
  <c r="H47" i="8"/>
  <c r="D47" i="8"/>
  <c r="H46" i="8"/>
  <c r="D46" i="8"/>
  <c r="H45" i="8"/>
  <c r="D45" i="8"/>
  <c r="H44" i="8"/>
  <c r="D44" i="8"/>
  <c r="H43" i="8"/>
  <c r="D43" i="8"/>
  <c r="H42" i="8"/>
  <c r="D42" i="8"/>
  <c r="H41" i="8"/>
  <c r="D41" i="8"/>
  <c r="H40" i="8"/>
  <c r="D40" i="8"/>
  <c r="H39" i="8"/>
  <c r="D39" i="8"/>
  <c r="H38" i="8"/>
  <c r="D38" i="8"/>
  <c r="H37" i="8"/>
  <c r="D37" i="8"/>
  <c r="H36" i="8"/>
  <c r="D36" i="8"/>
  <c r="H35" i="8"/>
  <c r="D35" i="8"/>
  <c r="H34" i="8"/>
  <c r="D34" i="8"/>
  <c r="H33" i="8"/>
  <c r="D33" i="8"/>
  <c r="H32" i="8"/>
  <c r="D32" i="8"/>
  <c r="H31" i="8"/>
  <c r="D31" i="8"/>
  <c r="H30" i="8"/>
  <c r="D30" i="8"/>
  <c r="H29" i="8"/>
  <c r="D29" i="8"/>
  <c r="H28" i="8"/>
  <c r="D28" i="8"/>
  <c r="H27" i="8"/>
  <c r="D27" i="8"/>
  <c r="H26" i="8"/>
  <c r="D26" i="8"/>
  <c r="H25" i="8"/>
  <c r="D25" i="8"/>
  <c r="H24" i="8"/>
  <c r="D24" i="8"/>
  <c r="H23" i="8"/>
  <c r="D23" i="8"/>
  <c r="H22" i="8"/>
  <c r="D22" i="8"/>
  <c r="H21" i="8"/>
  <c r="D21" i="8"/>
  <c r="H20" i="8"/>
  <c r="D20" i="8"/>
  <c r="H19" i="8"/>
  <c r="D19" i="8"/>
  <c r="H18" i="8"/>
  <c r="D18" i="8"/>
  <c r="H17" i="8"/>
  <c r="D17" i="8"/>
  <c r="H16" i="8"/>
  <c r="D16" i="8"/>
  <c r="H15" i="8"/>
  <c r="D15" i="8"/>
  <c r="H14" i="8"/>
  <c r="D14" i="8"/>
  <c r="H13" i="8"/>
  <c r="D13" i="8"/>
  <c r="H12" i="8"/>
  <c r="D12" i="8"/>
  <c r="H11" i="8"/>
  <c r="D11" i="8"/>
  <c r="H10" i="8"/>
  <c r="D10" i="8"/>
  <c r="H9" i="8"/>
  <c r="D9" i="8"/>
  <c r="H8" i="8"/>
  <c r="D8" i="8"/>
  <c r="M6" i="8" s="1"/>
  <c r="M7" i="7"/>
  <c r="M8" i="7" s="1"/>
  <c r="M6" i="7"/>
  <c r="H67" i="7"/>
  <c r="D67" i="7"/>
  <c r="H66" i="7"/>
  <c r="D66" i="7"/>
  <c r="H65" i="7"/>
  <c r="D65" i="7"/>
  <c r="H64" i="7"/>
  <c r="D64" i="7"/>
  <c r="H63" i="7"/>
  <c r="D63" i="7"/>
  <c r="H62" i="7"/>
  <c r="D62" i="7"/>
  <c r="H61" i="7"/>
  <c r="D61" i="7"/>
  <c r="H60" i="7"/>
  <c r="D60" i="7"/>
  <c r="H59" i="7"/>
  <c r="D59" i="7"/>
  <c r="H58" i="7"/>
  <c r="D58" i="7"/>
  <c r="H57" i="7"/>
  <c r="D57" i="7"/>
  <c r="H56" i="7"/>
  <c r="D56" i="7"/>
  <c r="H55" i="7"/>
  <c r="D55" i="7"/>
  <c r="H54" i="7"/>
  <c r="D54" i="7"/>
  <c r="H53" i="7"/>
  <c r="D53" i="7"/>
  <c r="H52" i="7"/>
  <c r="D52" i="7"/>
  <c r="H51" i="7"/>
  <c r="D51" i="7"/>
  <c r="H50" i="7"/>
  <c r="D50" i="7"/>
  <c r="H49" i="7"/>
  <c r="D49" i="7"/>
  <c r="H48" i="7"/>
  <c r="D48" i="7"/>
  <c r="H47" i="7"/>
  <c r="D47" i="7"/>
  <c r="H46" i="7"/>
  <c r="D46" i="7"/>
  <c r="H45" i="7"/>
  <c r="D45" i="7"/>
  <c r="H44" i="7"/>
  <c r="D44" i="7"/>
  <c r="H43" i="7"/>
  <c r="D43" i="7"/>
  <c r="H42" i="7"/>
  <c r="D42" i="7"/>
  <c r="H41" i="7"/>
  <c r="D41" i="7"/>
  <c r="H40" i="7"/>
  <c r="D40" i="7"/>
  <c r="H39" i="7"/>
  <c r="D39" i="7"/>
  <c r="H38" i="7"/>
  <c r="D38" i="7"/>
  <c r="H37" i="7"/>
  <c r="D37" i="7"/>
  <c r="H36" i="7"/>
  <c r="D36" i="7"/>
  <c r="H35" i="7"/>
  <c r="D35" i="7"/>
  <c r="H34" i="7"/>
  <c r="D34" i="7"/>
  <c r="H33" i="7"/>
  <c r="D33" i="7"/>
  <c r="H32" i="7"/>
  <c r="D32" i="7"/>
  <c r="H31" i="7"/>
  <c r="D31" i="7"/>
  <c r="H30" i="7"/>
  <c r="D30" i="7"/>
  <c r="H29" i="7"/>
  <c r="D29" i="7"/>
  <c r="H28" i="7"/>
  <c r="D28" i="7"/>
  <c r="H27" i="7"/>
  <c r="D27" i="7"/>
  <c r="H26" i="7"/>
  <c r="D26" i="7"/>
  <c r="H25" i="7"/>
  <c r="D25" i="7"/>
  <c r="H24" i="7"/>
  <c r="D24" i="7"/>
  <c r="H23" i="7"/>
  <c r="D23" i="7"/>
  <c r="H22" i="7"/>
  <c r="D22" i="7"/>
  <c r="H21" i="7"/>
  <c r="D21" i="7"/>
  <c r="H20" i="7"/>
  <c r="D20" i="7"/>
  <c r="H19" i="7"/>
  <c r="D19" i="7"/>
  <c r="H18" i="7"/>
  <c r="D18" i="7"/>
  <c r="H17" i="7"/>
  <c r="D17" i="7"/>
  <c r="H16" i="7"/>
  <c r="D16" i="7"/>
  <c r="H15" i="7"/>
  <c r="D15" i="7"/>
  <c r="H14" i="7"/>
  <c r="D14" i="7"/>
  <c r="H13" i="7"/>
  <c r="D13" i="7"/>
  <c r="H12" i="7"/>
  <c r="D12" i="7"/>
  <c r="H11" i="7"/>
  <c r="D11" i="7"/>
  <c r="H10" i="7"/>
  <c r="D10" i="7"/>
  <c r="H9" i="7"/>
  <c r="D9" i="7"/>
  <c r="H8" i="7"/>
  <c r="D8" i="7"/>
  <c r="M7" i="6"/>
  <c r="M8" i="6" s="1"/>
  <c r="M6" i="6"/>
  <c r="H67" i="6"/>
  <c r="D67" i="6"/>
  <c r="H66" i="6"/>
  <c r="D66" i="6"/>
  <c r="H65" i="6"/>
  <c r="D65" i="6"/>
  <c r="H64" i="6"/>
  <c r="D64" i="6"/>
  <c r="H63" i="6"/>
  <c r="D63" i="6"/>
  <c r="H62" i="6"/>
  <c r="D62" i="6"/>
  <c r="H61" i="6"/>
  <c r="D61" i="6"/>
  <c r="H60" i="6"/>
  <c r="D60" i="6"/>
  <c r="H59" i="6"/>
  <c r="D59" i="6"/>
  <c r="H58" i="6"/>
  <c r="D58" i="6"/>
  <c r="H57" i="6"/>
  <c r="D57" i="6"/>
  <c r="H56" i="6"/>
  <c r="D56" i="6"/>
  <c r="H55" i="6"/>
  <c r="D55" i="6"/>
  <c r="H54" i="6"/>
  <c r="D54" i="6"/>
  <c r="H53" i="6"/>
  <c r="D53" i="6"/>
  <c r="H52" i="6"/>
  <c r="D52" i="6"/>
  <c r="H51" i="6"/>
  <c r="D51" i="6"/>
  <c r="H50" i="6"/>
  <c r="D50" i="6"/>
  <c r="H49" i="6"/>
  <c r="D49" i="6"/>
  <c r="H48" i="6"/>
  <c r="D48" i="6"/>
  <c r="H47" i="6"/>
  <c r="D47" i="6"/>
  <c r="H46" i="6"/>
  <c r="D46" i="6"/>
  <c r="H45" i="6"/>
  <c r="D45" i="6"/>
  <c r="H44" i="6"/>
  <c r="D44" i="6"/>
  <c r="H43" i="6"/>
  <c r="D43" i="6"/>
  <c r="H42" i="6"/>
  <c r="D42" i="6"/>
  <c r="H41" i="6"/>
  <c r="D41" i="6"/>
  <c r="H40" i="6"/>
  <c r="D40" i="6"/>
  <c r="H39" i="6"/>
  <c r="D39" i="6"/>
  <c r="H38" i="6"/>
  <c r="D38" i="6"/>
  <c r="H37" i="6"/>
  <c r="D37" i="6"/>
  <c r="H36" i="6"/>
  <c r="D36" i="6"/>
  <c r="H35" i="6"/>
  <c r="D35" i="6"/>
  <c r="H34" i="6"/>
  <c r="D34" i="6"/>
  <c r="H33" i="6"/>
  <c r="D33" i="6"/>
  <c r="H32" i="6"/>
  <c r="D32" i="6"/>
  <c r="H31" i="6"/>
  <c r="D31" i="6"/>
  <c r="H30" i="6"/>
  <c r="D30" i="6"/>
  <c r="H29" i="6"/>
  <c r="D29" i="6"/>
  <c r="H28" i="6"/>
  <c r="D28" i="6"/>
  <c r="H27" i="6"/>
  <c r="D27" i="6"/>
  <c r="H26" i="6"/>
  <c r="D26" i="6"/>
  <c r="H25" i="6"/>
  <c r="D25" i="6"/>
  <c r="H24" i="6"/>
  <c r="D24" i="6"/>
  <c r="H23" i="6"/>
  <c r="D23" i="6"/>
  <c r="H22" i="6"/>
  <c r="D22" i="6"/>
  <c r="H21" i="6"/>
  <c r="D21" i="6"/>
  <c r="H20" i="6"/>
  <c r="D20" i="6"/>
  <c r="H19" i="6"/>
  <c r="D19" i="6"/>
  <c r="H18" i="6"/>
  <c r="D18" i="6"/>
  <c r="H17" i="6"/>
  <c r="D17" i="6"/>
  <c r="H16" i="6"/>
  <c r="D16" i="6"/>
  <c r="H15" i="6"/>
  <c r="D15" i="6"/>
  <c r="H14" i="6"/>
  <c r="D14" i="6"/>
  <c r="H13" i="6"/>
  <c r="D13" i="6"/>
  <c r="H12" i="6"/>
  <c r="D12" i="6"/>
  <c r="H11" i="6"/>
  <c r="D11" i="6"/>
  <c r="H10" i="6"/>
  <c r="D10" i="6"/>
  <c r="H9" i="6"/>
  <c r="D9" i="6"/>
  <c r="H8" i="6"/>
  <c r="D8" i="6"/>
  <c r="M7" i="5"/>
  <c r="M8" i="5" s="1"/>
  <c r="H67" i="5"/>
  <c r="D67" i="5"/>
  <c r="H66" i="5"/>
  <c r="D66" i="5"/>
  <c r="H65" i="5"/>
  <c r="D65" i="5"/>
  <c r="H64" i="5"/>
  <c r="D64" i="5"/>
  <c r="H63" i="5"/>
  <c r="D63" i="5"/>
  <c r="H62" i="5"/>
  <c r="D62" i="5"/>
  <c r="H61" i="5"/>
  <c r="D61" i="5"/>
  <c r="H60" i="5"/>
  <c r="D60" i="5"/>
  <c r="H59" i="5"/>
  <c r="D59" i="5"/>
  <c r="H58" i="5"/>
  <c r="D58" i="5"/>
  <c r="H57" i="5"/>
  <c r="D57" i="5"/>
  <c r="H56" i="5"/>
  <c r="D56" i="5"/>
  <c r="H55" i="5"/>
  <c r="D55" i="5"/>
  <c r="H54" i="5"/>
  <c r="D54" i="5"/>
  <c r="H53" i="5"/>
  <c r="D53" i="5"/>
  <c r="H52" i="5"/>
  <c r="D52" i="5"/>
  <c r="H51" i="5"/>
  <c r="D51" i="5"/>
  <c r="H50" i="5"/>
  <c r="D50" i="5"/>
  <c r="H49" i="5"/>
  <c r="D49" i="5"/>
  <c r="H48" i="5"/>
  <c r="D48" i="5"/>
  <c r="H47" i="5"/>
  <c r="D47" i="5"/>
  <c r="H46" i="5"/>
  <c r="D46" i="5"/>
  <c r="H45" i="5"/>
  <c r="D45" i="5"/>
  <c r="H44" i="5"/>
  <c r="D44" i="5"/>
  <c r="H43" i="5"/>
  <c r="D43" i="5"/>
  <c r="H42" i="5"/>
  <c r="D42" i="5"/>
  <c r="H41" i="5"/>
  <c r="D41" i="5"/>
  <c r="H40" i="5"/>
  <c r="D40" i="5"/>
  <c r="H39" i="5"/>
  <c r="D39" i="5"/>
  <c r="H38" i="5"/>
  <c r="D38" i="5"/>
  <c r="H37" i="5"/>
  <c r="D37" i="5"/>
  <c r="H36" i="5"/>
  <c r="D36" i="5"/>
  <c r="H35" i="5"/>
  <c r="D35" i="5"/>
  <c r="H34" i="5"/>
  <c r="D34" i="5"/>
  <c r="H33" i="5"/>
  <c r="D33" i="5"/>
  <c r="H32" i="5"/>
  <c r="D32" i="5"/>
  <c r="H31" i="5"/>
  <c r="D31" i="5"/>
  <c r="H30" i="5"/>
  <c r="D30" i="5"/>
  <c r="H29" i="5"/>
  <c r="D29" i="5"/>
  <c r="H28" i="5"/>
  <c r="D28" i="5"/>
  <c r="H27" i="5"/>
  <c r="D27" i="5"/>
  <c r="H26" i="5"/>
  <c r="D26" i="5"/>
  <c r="H25" i="5"/>
  <c r="D25" i="5"/>
  <c r="H24" i="5"/>
  <c r="D24" i="5"/>
  <c r="H23" i="5"/>
  <c r="D23" i="5"/>
  <c r="H22" i="5"/>
  <c r="D22" i="5"/>
  <c r="H21" i="5"/>
  <c r="D21" i="5"/>
  <c r="H20" i="5"/>
  <c r="D20" i="5"/>
  <c r="H19" i="5"/>
  <c r="D19" i="5"/>
  <c r="H18" i="5"/>
  <c r="D18" i="5"/>
  <c r="H17" i="5"/>
  <c r="D17" i="5"/>
  <c r="H16" i="5"/>
  <c r="D16" i="5"/>
  <c r="H15" i="5"/>
  <c r="D15" i="5"/>
  <c r="H14" i="5"/>
  <c r="D14" i="5"/>
  <c r="H13" i="5"/>
  <c r="D13" i="5"/>
  <c r="H12" i="5"/>
  <c r="D12" i="5"/>
  <c r="H11" i="5"/>
  <c r="D11" i="5"/>
  <c r="H10" i="5"/>
  <c r="D10" i="5"/>
  <c r="H9" i="5"/>
  <c r="D9" i="5"/>
  <c r="H8" i="5"/>
  <c r="D8" i="5"/>
  <c r="M6" i="5" s="1"/>
  <c r="M7" i="4"/>
  <c r="K10" i="13" l="1"/>
  <c r="K12" i="13" s="1"/>
  <c r="K13" i="13" s="1"/>
  <c r="K15" i="13" s="1"/>
  <c r="K22" i="13" s="1"/>
  <c r="K37" i="13" s="1"/>
  <c r="K9" i="13"/>
  <c r="M6" i="4"/>
  <c r="M8" i="4"/>
  <c r="H67" i="4"/>
  <c r="D67" i="4"/>
  <c r="H66" i="4"/>
  <c r="D66" i="4"/>
  <c r="H65" i="4"/>
  <c r="D65" i="4"/>
  <c r="H64" i="4"/>
  <c r="D64" i="4"/>
  <c r="H63" i="4"/>
  <c r="D63" i="4"/>
  <c r="H62" i="4"/>
  <c r="D62" i="4"/>
  <c r="H61" i="4"/>
  <c r="D61" i="4"/>
  <c r="H60" i="4"/>
  <c r="D60" i="4"/>
  <c r="H59" i="4"/>
  <c r="D59" i="4"/>
  <c r="H58" i="4"/>
  <c r="D58" i="4"/>
  <c r="H57" i="4"/>
  <c r="D57" i="4"/>
  <c r="H56" i="4"/>
  <c r="D56" i="4"/>
  <c r="H55" i="4"/>
  <c r="D55" i="4"/>
  <c r="H54" i="4"/>
  <c r="D54" i="4"/>
  <c r="H53" i="4"/>
  <c r="D53" i="4"/>
  <c r="H52" i="4"/>
  <c r="D52" i="4"/>
  <c r="H51" i="4"/>
  <c r="D51" i="4"/>
  <c r="H50" i="4"/>
  <c r="D50" i="4"/>
  <c r="H49" i="4"/>
  <c r="D49" i="4"/>
  <c r="H48" i="4"/>
  <c r="D48" i="4"/>
  <c r="H47" i="4"/>
  <c r="D47" i="4"/>
  <c r="H46" i="4"/>
  <c r="D46" i="4"/>
  <c r="H45" i="4"/>
  <c r="D45" i="4"/>
  <c r="H44" i="4"/>
  <c r="D44" i="4"/>
  <c r="H43" i="4"/>
  <c r="D43" i="4"/>
  <c r="H42" i="4"/>
  <c r="D42" i="4"/>
  <c r="H41" i="4"/>
  <c r="D41" i="4"/>
  <c r="H40" i="4"/>
  <c r="D40" i="4"/>
  <c r="H39" i="4"/>
  <c r="D39" i="4"/>
  <c r="H38" i="4"/>
  <c r="D38" i="4"/>
  <c r="H37" i="4"/>
  <c r="D37" i="4"/>
  <c r="H36" i="4"/>
  <c r="D36" i="4"/>
  <c r="H35" i="4"/>
  <c r="D35" i="4"/>
  <c r="H34" i="4"/>
  <c r="D34" i="4"/>
  <c r="H33" i="4"/>
  <c r="D33" i="4"/>
  <c r="H32" i="4"/>
  <c r="D32" i="4"/>
  <c r="H31" i="4"/>
  <c r="D31" i="4"/>
  <c r="H30" i="4"/>
  <c r="D30" i="4"/>
  <c r="H29" i="4"/>
  <c r="D29" i="4"/>
  <c r="H28" i="4"/>
  <c r="D28" i="4"/>
  <c r="H27" i="4"/>
  <c r="D27" i="4"/>
  <c r="H26" i="4"/>
  <c r="D26" i="4"/>
  <c r="H25" i="4"/>
  <c r="D25" i="4"/>
  <c r="H24" i="4"/>
  <c r="D24" i="4"/>
  <c r="H23" i="4"/>
  <c r="D23" i="4"/>
  <c r="H22" i="4"/>
  <c r="D22" i="4"/>
  <c r="H21" i="4"/>
  <c r="D21" i="4"/>
  <c r="H20" i="4"/>
  <c r="D20" i="4"/>
  <c r="H19" i="4"/>
  <c r="D19" i="4"/>
  <c r="H18" i="4"/>
  <c r="D18" i="4"/>
  <c r="H17" i="4"/>
  <c r="D17" i="4"/>
  <c r="H16" i="4"/>
  <c r="D16" i="4"/>
  <c r="H15" i="4"/>
  <c r="D15" i="4"/>
  <c r="H14" i="4"/>
  <c r="D14" i="4"/>
  <c r="H13" i="4"/>
  <c r="D13" i="4"/>
  <c r="H12" i="4"/>
  <c r="D12" i="4"/>
  <c r="H11" i="4"/>
  <c r="D11" i="4"/>
  <c r="H10" i="4"/>
  <c r="D10" i="4"/>
  <c r="H9" i="4"/>
  <c r="D9" i="4"/>
  <c r="H8" i="4"/>
  <c r="D8" i="4"/>
  <c r="K29" i="13" l="1"/>
  <c r="K30" i="13" s="1"/>
  <c r="K58" i="13"/>
  <c r="K17" i="13"/>
  <c r="K18" i="13" s="1"/>
  <c r="K20" i="13" s="1"/>
  <c r="K38" i="13"/>
  <c r="M7" i="2"/>
  <c r="M8" i="2" s="1"/>
  <c r="K64" i="13" l="1"/>
  <c r="K66" i="13"/>
  <c r="K55" i="13" s="1"/>
  <c r="K57" i="13" s="1"/>
  <c r="K59" i="13" s="1"/>
  <c r="K39" i="13" s="1"/>
  <c r="K40" i="13" s="1"/>
  <c r="L8" i="13" s="1"/>
  <c r="L7" i="13" s="1"/>
  <c r="M6"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12" i="2"/>
  <c r="C35" i="1"/>
  <c r="C32" i="1"/>
  <c r="C33" i="1" s="1"/>
  <c r="B32" i="1"/>
  <c r="C34" i="1"/>
  <c r="B22" i="1"/>
  <c r="L10" i="13" l="1"/>
  <c r="L12" i="13" s="1"/>
  <c r="L13" i="13" s="1"/>
  <c r="L15" i="13" s="1"/>
  <c r="L22" i="13" s="1"/>
  <c r="L9" i="13"/>
  <c r="B33" i="1"/>
  <c r="L29" i="13" l="1"/>
  <c r="L30" i="13" s="1"/>
  <c r="C32" i="13" s="1"/>
  <c r="L17" i="13"/>
  <c r="L18" i="13" s="1"/>
  <c r="L20" i="13" s="1"/>
</calcChain>
</file>

<file path=xl/sharedStrings.xml><?xml version="1.0" encoding="utf-8"?>
<sst xmlns="http://schemas.openxmlformats.org/spreadsheetml/2006/main" count="946" uniqueCount="446">
  <si>
    <t>Calculation of Risk Free Rate</t>
  </si>
  <si>
    <t>Cost of Equity=</t>
  </si>
  <si>
    <r>
      <t>R</t>
    </r>
    <r>
      <rPr>
        <b/>
        <vertAlign val="subscript"/>
        <sz val="11"/>
        <color theme="1"/>
        <rFont val="Calibri"/>
        <family val="2"/>
      </rPr>
      <t>f</t>
    </r>
    <r>
      <rPr>
        <b/>
        <sz val="11"/>
        <color theme="1"/>
        <rFont val="Calibri"/>
        <family val="2"/>
      </rPr>
      <t xml:space="preserve"> + Beta(R</t>
    </r>
    <r>
      <rPr>
        <b/>
        <vertAlign val="subscript"/>
        <sz val="11"/>
        <color theme="1"/>
        <rFont val="Calibri"/>
        <family val="2"/>
      </rPr>
      <t>m</t>
    </r>
    <r>
      <rPr>
        <b/>
        <sz val="11"/>
        <color theme="1"/>
        <rFont val="Calibri"/>
        <family val="2"/>
      </rPr>
      <t>-R</t>
    </r>
    <r>
      <rPr>
        <b/>
        <vertAlign val="subscript"/>
        <sz val="11"/>
        <color theme="1"/>
        <rFont val="Calibri"/>
        <family val="2"/>
      </rPr>
      <t>f</t>
    </r>
    <r>
      <rPr>
        <b/>
        <sz val="11"/>
        <color theme="1"/>
        <rFont val="Calibri"/>
        <family val="2"/>
      </rPr>
      <t>)</t>
    </r>
  </si>
  <si>
    <t>Characterstics of risk free rate</t>
  </si>
  <si>
    <t>- No Default Risk</t>
  </si>
  <si>
    <t>- No Reinvestment Risk</t>
  </si>
  <si>
    <t>10 Year Govt.  Bond Yield</t>
  </si>
  <si>
    <r>
      <t>As on 29</t>
    </r>
    <r>
      <rPr>
        <i/>
        <vertAlign val="superscript"/>
        <sz val="9"/>
        <color theme="1"/>
        <rFont val="Calibri"/>
        <family val="2"/>
      </rPr>
      <t>th</t>
    </r>
    <r>
      <rPr>
        <i/>
        <sz val="9"/>
        <color theme="1"/>
        <rFont val="Calibri"/>
        <family val="2"/>
      </rPr>
      <t xml:space="preserve"> July 2024</t>
    </r>
  </si>
  <si>
    <t>- It is understood in that in many emerging economies government securities are not thought be risk free. Governments in these markets may default even when they borrow in local currencies.</t>
  </si>
  <si>
    <t>Country</t>
  </si>
  <si>
    <t>Adj. Default Spread</t>
  </si>
  <si>
    <t>Equity Risk Premium</t>
  </si>
  <si>
    <t>Country Risk Premium</t>
  </si>
  <si>
    <t>Corporate Tax Rate</t>
  </si>
  <si>
    <t>Moody's rating</t>
  </si>
  <si>
    <t>Sovereign CDS Spread</t>
  </si>
  <si>
    <t>Abu Dhabi</t>
  </si>
  <si>
    <t>Aa2</t>
  </si>
  <si>
    <t>Albania</t>
  </si>
  <si>
    <t>B1</t>
  </si>
  <si>
    <t>NA</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</si>
  <si>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</si>
  <si>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</si>
  <si>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</si>
  <si>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</si>
  <si>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</si>
  <si>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</si>
  <si>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</si>
  <si>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</si>
  <si>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</si>
  <si>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</si>
  <si>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</si>
  <si>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</si>
  <si>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</si>
  <si>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</si>
  <si>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</si>
  <si>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</si>
  <si>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</si>
  <si>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</si>
  <si>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</si>
  <si>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</si>
  <si>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</si>
  <si>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</si>
  <si>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</si>
  <si>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</si>
  <si>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</si>
  <si>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</si>
  <si>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</si>
  <si>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</si>
  <si>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</si>
  <si>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</si>
  <si>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</si>
  <si>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</si>
  <si>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</si>
  <si>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</si>
  <si>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</si>
  <si>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</si>
  <si>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</si>
  <si>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</si>
  <si>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</si>
  <si>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</si>
  <si>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</si>
  <si>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</si>
  <si>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</si>
  <si>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</si>
  <si>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</si>
  <si>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</si>
  <si>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</si>
  <si>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</si>
  <si>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</si>
  <si>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</si>
  <si>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</si>
  <si>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</si>
  <si>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China</t>
  </si>
  <si>
    <t>A1</t>
  </si>
  <si>
    <t>Colombia</t>
  </si>
  <si>
    <t>Congo (Democratic Republic</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</si>
  <si>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</si>
  <si>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</si>
  <si>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</si>
  <si>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</si>
  <si>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</si>
  <si>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</si>
  <si>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</si>
  <si>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</si>
  <si>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</si>
  <si>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</si>
  <si>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</si>
  <si>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</si>
  <si>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</si>
  <si>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</si>
  <si>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</si>
  <si>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</si>
  <si>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</si>
  <si>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</si>
  <si>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</si>
  <si>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</si>
  <si>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</si>
  <si>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</si>
  <si>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</si>
  <si>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</si>
  <si>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</si>
  <si>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</si>
  <si>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</si>
  <si>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</si>
  <si>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</si>
  <si>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</si>
  <si>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</si>
  <si>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</si>
  <si>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</si>
  <si>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</si>
  <si>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</si>
  <si>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</si>
  <si>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</si>
  <si>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</si>
  <si>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</si>
  <si>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India</t>
  </si>
  <si>
    <t>Baa3</t>
  </si>
  <si>
    <t>Indonesia</t>
  </si>
  <si>
    <t>Iran</t>
  </si>
  <si>
    <t>Iraq</t>
  </si>
  <si>
    <t>Ireland</t>
  </si>
  <si>
    <t>Isle of Man</t>
  </si>
  <si>
    <t>Israel</t>
  </si>
  <si>
    <t>Italy</t>
  </si>
  <si>
    <t>Ivory Coast</t>
  </si>
  <si>
    <t>Jamaica</t>
  </si>
  <si>
    <t>Japan</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</si>
  <si>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</si>
  <si>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</si>
  <si>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</si>
  <si>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</si>
  <si>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</si>
  <si>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</si>
  <si>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</si>
  <si>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</si>
  <si>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</si>
  <si>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</si>
  <si>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</si>
  <si>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</si>
  <si>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</si>
  <si>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</si>
  <si>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</si>
  <si>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</si>
  <si>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</si>
  <si>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</si>
  <si>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</si>
  <si>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</si>
  <si>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</si>
  <si>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</si>
  <si>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</si>
  <si>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</si>
  <si>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</si>
  <si>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</si>
  <si>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</si>
  <si>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</si>
  <si>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</si>
  <si>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</si>
  <si>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</si>
  <si>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</si>
  <si>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</si>
  <si>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</si>
  <si>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</si>
  <si>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</si>
  <si>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</si>
  <si>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</si>
  <si>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</si>
  <si>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</si>
  <si>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</si>
  <si>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</si>
  <si>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</si>
  <si>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</si>
  <si>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</si>
  <si>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</si>
  <si>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</si>
  <si>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</si>
  <si>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</si>
  <si>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</si>
  <si>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</si>
  <si>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</si>
  <si>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</si>
  <si>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</si>
  <si>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</si>
  <si>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</si>
  <si>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</si>
  <si>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</si>
  <si>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</si>
  <si>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</si>
  <si>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</si>
  <si>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</si>
  <si>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</si>
  <si>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</si>
  <si>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</si>
  <si>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</si>
  <si>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</si>
  <si>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</si>
  <si>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</si>
  <si>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</si>
  <si>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</si>
  <si>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</si>
  <si>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</si>
  <si>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</si>
  <si>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</si>
  <si>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</si>
  <si>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</si>
  <si>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</si>
  <si>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</si>
  <si>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</si>
  <si>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</si>
  <si>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</si>
  <si>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</si>
  <si>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</si>
  <si>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</si>
  <si>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</si>
  <si>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</si>
  <si>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</si>
  <si>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</si>
  <si>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</si>
  <si>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</si>
  <si>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</si>
  <si>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</si>
  <si>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Kingdom</t>
  </si>
  <si>
    <t>United States</t>
  </si>
  <si>
    <t>Uruguay</t>
  </si>
  <si>
    <t>Uzbekistan</t>
  </si>
  <si>
    <t>Venezuela</t>
  </si>
  <si>
    <t>Vietnam</t>
  </si>
  <si>
    <t>Yemen</t>
  </si>
  <si>
    <t>Zambia</t>
  </si>
  <si>
    <t>Zimbabwe</t>
  </si>
  <si>
    <t>Rf= 10-yr Govt. Bond Yield - Default Spread</t>
  </si>
  <si>
    <t>Country of the company</t>
  </si>
  <si>
    <t>10-yr Govt Bond Yield</t>
  </si>
  <si>
    <t>Risk Free Rate</t>
  </si>
  <si>
    <t>Calculation of Beta</t>
  </si>
  <si>
    <t>Historical Beta</t>
  </si>
  <si>
    <t>Date</t>
  </si>
  <si>
    <t>Adj Close</t>
  </si>
  <si>
    <t>Return</t>
  </si>
  <si>
    <t>5-yr Monthly Return of HUL</t>
  </si>
  <si>
    <t>5-yr Monthly Return of Nifty-50</t>
  </si>
  <si>
    <t>Calculation of Historical Beta</t>
  </si>
  <si>
    <r>
      <t>Beta</t>
    </r>
    <r>
      <rPr>
        <vertAlign val="subscript"/>
        <sz val="11"/>
        <color theme="1"/>
        <rFont val="Calibri"/>
        <family val="2"/>
      </rPr>
      <t>(using slope)</t>
    </r>
  </si>
  <si>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</si>
  <si>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</si>
  <si>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</si>
  <si>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</si>
  <si>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</si>
  <si>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</si>
  <si>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</si>
  <si>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</si>
  <si>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</si>
  <si>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</si>
  <si>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</si>
  <si>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</si>
  <si>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</si>
  <si>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</si>
  <si>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</si>
  <si>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</si>
  <si>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</si>
  <si>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</si>
  <si>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</si>
  <si>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</si>
  <si>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</si>
  <si>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</si>
  <si>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</si>
  <si>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</si>
  <si>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</si>
  <si>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r>
      <t>Beta</t>
    </r>
    <r>
      <rPr>
        <vertAlign val="subscript"/>
        <sz val="11"/>
        <color theme="1"/>
        <rFont val="Calibri"/>
        <family val="2"/>
      </rPr>
      <t>(Regression)</t>
    </r>
  </si>
  <si>
    <t>Adjusted Beta</t>
  </si>
  <si>
    <t>Nestle India</t>
  </si>
  <si>
    <t>Varun Beverages</t>
  </si>
  <si>
    <t>Godrej Consumer</t>
  </si>
  <si>
    <t>Britannia Inds.</t>
  </si>
  <si>
    <t>Dabur India</t>
  </si>
  <si>
    <t>5-yr Monthly Return of Nestle India</t>
  </si>
  <si>
    <t>5-yr Monthly Return of Varun Beverages</t>
  </si>
  <si>
    <t>5-yr Monthly Return of Godrej Consumers</t>
  </si>
  <si>
    <t>5-yr Monthly Return of Britania</t>
  </si>
  <si>
    <t>5-yr Monthly Return of Dabur</t>
  </si>
  <si>
    <t>Total Debt</t>
  </si>
  <si>
    <t>Market Cap</t>
  </si>
  <si>
    <t>Tax Rate</t>
  </si>
  <si>
    <t>Debt/Equity</t>
  </si>
  <si>
    <t>Debt/Value</t>
  </si>
  <si>
    <t>Levered Beta</t>
  </si>
  <si>
    <t>Unlevered Beta</t>
  </si>
  <si>
    <t>Name of the Company</t>
  </si>
  <si>
    <t>Mean</t>
  </si>
  <si>
    <t>Median</t>
  </si>
  <si>
    <t>Beta of HUL</t>
  </si>
  <si>
    <t>Total Market Cap.</t>
  </si>
  <si>
    <t>All figures are in INR Cr. unless otherwise stated</t>
  </si>
  <si>
    <t>Unlevered Market Beta</t>
  </si>
  <si>
    <t>Levered Beta of HUL</t>
  </si>
  <si>
    <r>
      <t>MRP =R</t>
    </r>
    <r>
      <rPr>
        <b/>
        <vertAlign val="subscript"/>
        <sz val="9"/>
        <color theme="1"/>
        <rFont val="Calibri"/>
        <family val="2"/>
      </rPr>
      <t>m</t>
    </r>
    <r>
      <rPr>
        <b/>
        <sz val="9"/>
        <color theme="1"/>
        <rFont val="Calibri"/>
        <family val="2"/>
      </rPr>
      <t>-R</t>
    </r>
    <r>
      <rPr>
        <b/>
        <vertAlign val="subscript"/>
        <sz val="9"/>
        <color theme="1"/>
        <rFont val="Calibri"/>
        <family val="2"/>
      </rPr>
      <t>f</t>
    </r>
  </si>
  <si>
    <t>Source- HUL Financial Statements</t>
  </si>
  <si>
    <t>StDev of Indian Market</t>
  </si>
  <si>
    <t>Nifty Monthly Return</t>
  </si>
  <si>
    <t>S&amp;P 500 Monthly Return</t>
  </si>
  <si>
    <t>StDev of USA Market</t>
  </si>
  <si>
    <t>% of revenue from India</t>
  </si>
  <si>
    <r>
      <t xml:space="preserve">Average annual Return   </t>
    </r>
    <r>
      <rPr>
        <sz val="10"/>
        <color theme="1"/>
        <rFont val="Calibri"/>
        <family val="2"/>
      </rPr>
      <t>(including Div payment)</t>
    </r>
  </si>
  <si>
    <t>Average USA Equity Risk Premium</t>
  </si>
  <si>
    <r>
      <t>Return on Market(R</t>
    </r>
    <r>
      <rPr>
        <b/>
        <vertAlign val="subscript"/>
        <sz val="11"/>
        <color theme="1"/>
        <rFont val="Calibri"/>
        <family val="2"/>
      </rPr>
      <t>m</t>
    </r>
    <r>
      <rPr>
        <b/>
        <sz val="11"/>
        <color theme="1"/>
        <rFont val="Calibri"/>
        <family val="2"/>
      </rPr>
      <t>)</t>
    </r>
  </si>
  <si>
    <r>
      <t>Calculation of R</t>
    </r>
    <r>
      <rPr>
        <b/>
        <vertAlign val="subscript"/>
        <sz val="11"/>
        <color theme="1"/>
        <rFont val="Calibri"/>
        <family val="2"/>
      </rPr>
      <t>m</t>
    </r>
  </si>
  <si>
    <t>Calculation of Cost of Equity</t>
  </si>
  <si>
    <t>Rf</t>
  </si>
  <si>
    <t>Beta</t>
  </si>
  <si>
    <t>Rm</t>
  </si>
  <si>
    <t>ERP</t>
  </si>
  <si>
    <t>COE</t>
  </si>
  <si>
    <t>Rating of HUL</t>
  </si>
  <si>
    <t>AAA</t>
  </si>
  <si>
    <t>Company default Spread</t>
  </si>
  <si>
    <t>Country Default Spread</t>
  </si>
  <si>
    <t>Return on Debt</t>
  </si>
  <si>
    <t>Calculation of Weighted Average Cost of Capital(WACC)</t>
  </si>
  <si>
    <t>WACC=</t>
  </si>
  <si>
    <r>
      <t>w</t>
    </r>
    <r>
      <rPr>
        <b/>
        <vertAlign val="subscript"/>
        <sz val="11"/>
        <color theme="1"/>
        <rFont val="Calibri"/>
        <family val="2"/>
      </rPr>
      <t>d</t>
    </r>
    <r>
      <rPr>
        <b/>
        <sz val="11"/>
        <color theme="1"/>
        <rFont val="Calibri"/>
        <family val="2"/>
      </rPr>
      <t>xR</t>
    </r>
    <r>
      <rPr>
        <b/>
        <vertAlign val="subscript"/>
        <sz val="11"/>
        <color theme="1"/>
        <rFont val="Calibri"/>
        <family val="2"/>
      </rPr>
      <t xml:space="preserve">d </t>
    </r>
    <r>
      <rPr>
        <b/>
        <sz val="11"/>
        <color theme="1"/>
        <rFont val="Calibri"/>
        <family val="2"/>
      </rPr>
      <t>x</t>
    </r>
    <r>
      <rPr>
        <b/>
        <vertAlign val="subscript"/>
        <sz val="11"/>
        <color theme="1"/>
        <rFont val="Calibri"/>
        <family val="2"/>
      </rPr>
      <t xml:space="preserve"> </t>
    </r>
    <r>
      <rPr>
        <b/>
        <sz val="11"/>
        <color theme="1"/>
        <rFont val="Calibri"/>
        <family val="2"/>
      </rPr>
      <t>(1-T</t>
    </r>
    <r>
      <rPr>
        <b/>
        <vertAlign val="subscript"/>
        <sz val="11"/>
        <color theme="1"/>
        <rFont val="Calibri"/>
        <family val="2"/>
      </rPr>
      <t>c</t>
    </r>
    <r>
      <rPr>
        <b/>
        <sz val="11"/>
        <color theme="1"/>
        <rFont val="Calibri"/>
        <family val="2"/>
      </rPr>
      <t>)+w</t>
    </r>
    <r>
      <rPr>
        <b/>
        <vertAlign val="subscript"/>
        <sz val="11"/>
        <color theme="1"/>
        <rFont val="Calibri"/>
        <family val="2"/>
      </rPr>
      <t xml:space="preserve">e </t>
    </r>
    <r>
      <rPr>
        <b/>
        <sz val="11"/>
        <color theme="1"/>
        <rFont val="Calibri"/>
        <family val="2"/>
      </rPr>
      <t>x R</t>
    </r>
    <r>
      <rPr>
        <b/>
        <vertAlign val="subscript"/>
        <sz val="11"/>
        <color theme="1"/>
        <rFont val="Calibri"/>
        <family val="2"/>
      </rPr>
      <t>e</t>
    </r>
  </si>
  <si>
    <r>
      <t>W</t>
    </r>
    <r>
      <rPr>
        <vertAlign val="subscript"/>
        <sz val="11"/>
        <color theme="1"/>
        <rFont val="Calibri"/>
        <family val="2"/>
      </rPr>
      <t>d</t>
    </r>
  </si>
  <si>
    <r>
      <t>R</t>
    </r>
    <r>
      <rPr>
        <vertAlign val="subscript"/>
        <sz val="11"/>
        <color theme="1"/>
        <rFont val="Calibri"/>
        <family val="2"/>
      </rPr>
      <t>d</t>
    </r>
    <r>
      <rPr>
        <sz val="11"/>
        <color theme="1"/>
        <rFont val="Calibri"/>
        <family val="2"/>
      </rPr>
      <t xml:space="preserve"> </t>
    </r>
    <r>
      <rPr>
        <sz val="9"/>
        <color theme="1"/>
        <rFont val="Calibri"/>
        <family val="2"/>
      </rPr>
      <t>(Pre-Tax)</t>
    </r>
  </si>
  <si>
    <r>
      <t>T</t>
    </r>
    <r>
      <rPr>
        <vertAlign val="subscript"/>
        <sz val="11"/>
        <color theme="1"/>
        <rFont val="Calibri"/>
        <family val="2"/>
      </rPr>
      <t>c</t>
    </r>
  </si>
  <si>
    <r>
      <t>R</t>
    </r>
    <r>
      <rPr>
        <vertAlign val="subscript"/>
        <sz val="11"/>
        <color theme="1"/>
        <rFont val="Calibri"/>
        <family val="2"/>
      </rPr>
      <t>d</t>
    </r>
    <r>
      <rPr>
        <sz val="11"/>
        <color theme="1"/>
        <rFont val="Calibri"/>
        <family val="2"/>
      </rPr>
      <t xml:space="preserve"> </t>
    </r>
    <r>
      <rPr>
        <sz val="9"/>
        <color theme="1"/>
        <rFont val="Calibri"/>
        <family val="2"/>
      </rPr>
      <t>(Post-Tax)</t>
    </r>
  </si>
  <si>
    <r>
      <t>W</t>
    </r>
    <r>
      <rPr>
        <vertAlign val="subscript"/>
        <sz val="11"/>
        <color theme="1"/>
        <rFont val="Calibri"/>
        <family val="2"/>
      </rPr>
      <t>e</t>
    </r>
  </si>
  <si>
    <r>
      <t>R</t>
    </r>
    <r>
      <rPr>
        <vertAlign val="subscript"/>
        <sz val="11"/>
        <color theme="1"/>
        <rFont val="Calibri"/>
        <family val="2"/>
      </rPr>
      <t>e</t>
    </r>
  </si>
  <si>
    <t>Book Value of Debt</t>
  </si>
  <si>
    <t>WACC</t>
  </si>
  <si>
    <t>Net Sales</t>
  </si>
  <si>
    <t xml:space="preserve"> Other Income </t>
  </si>
  <si>
    <t>Total Income</t>
  </si>
  <si>
    <t xml:space="preserve"> Interest </t>
  </si>
  <si>
    <t xml:space="preserve"> Tax </t>
  </si>
  <si>
    <t>Year</t>
  </si>
  <si>
    <t>EBITDA</t>
  </si>
  <si>
    <t xml:space="preserve"> Total Expenditure </t>
  </si>
  <si>
    <t>Depreciation</t>
  </si>
  <si>
    <t>EBT</t>
  </si>
  <si>
    <t>Net Profit</t>
  </si>
  <si>
    <t>Effective Tax Rate</t>
  </si>
  <si>
    <t>Reinvestment</t>
  </si>
  <si>
    <t>Capex</t>
  </si>
  <si>
    <t>Dep</t>
  </si>
  <si>
    <t>Change in NWC</t>
  </si>
  <si>
    <t>Total Reinvestment</t>
  </si>
  <si>
    <t>FCFF</t>
  </si>
  <si>
    <t>Reinvestment Rate</t>
  </si>
  <si>
    <t>ROC</t>
  </si>
  <si>
    <t>NOPAT</t>
  </si>
  <si>
    <t>Finance &gt;&gt;Balance Sheet (Standalone)&gt;&gt;Hindustan Unilever Ltd(Curr. in )</t>
  </si>
  <si>
    <t>SOURCES OF FUNDS :</t>
  </si>
  <si>
    <t xml:space="preserve"> Share Capital </t>
  </si>
  <si>
    <t xml:space="preserve"> Reserves Total </t>
  </si>
  <si>
    <t>Equity Share Warrants</t>
  </si>
  <si>
    <t>Equity Application Money</t>
  </si>
  <si>
    <t>Total Shareholders Funds</t>
  </si>
  <si>
    <t xml:space="preserve"> Secured Loans </t>
  </si>
  <si>
    <t xml:space="preserve"> Unsecured Loans </t>
  </si>
  <si>
    <t xml:space="preserve"> Other Liabilities </t>
  </si>
  <si>
    <t>Total Liabilities</t>
  </si>
  <si>
    <t>APPLICATION OF FUNDS :</t>
  </si>
  <si>
    <t xml:space="preserve"> Gross Block </t>
  </si>
  <si>
    <t>Goodwill</t>
  </si>
  <si>
    <t>Patent</t>
  </si>
  <si>
    <t>Technical Know-how</t>
  </si>
  <si>
    <t>Leasehold Land</t>
  </si>
  <si>
    <t>Freehold Land</t>
  </si>
  <si>
    <t>Railway Sidings</t>
  </si>
  <si>
    <t>Buildings</t>
  </si>
  <si>
    <t>Ponds &amp; Reservoirs</t>
  </si>
  <si>
    <t>Water supply / tubewells</t>
  </si>
  <si>
    <t>Plant and Machinery</t>
  </si>
  <si>
    <t>Ships / Vessels</t>
  </si>
  <si>
    <t>Electrical Installations / Fittings</t>
  </si>
  <si>
    <t>Factory Equipments</t>
  </si>
  <si>
    <t>Furniture and Fixtures</t>
  </si>
  <si>
    <t>Office Equipments</t>
  </si>
  <si>
    <t>Computers</t>
  </si>
  <si>
    <t>Lab and R &amp; D Equipment</t>
  </si>
  <si>
    <t>Medical Equipment and Surgical Instrument</t>
  </si>
  <si>
    <t>Vehicles</t>
  </si>
  <si>
    <t>Transmission and Distribution Equipment</t>
  </si>
  <si>
    <t>Wind Turbines</t>
  </si>
  <si>
    <t>Aircraft and Helicopters</t>
  </si>
  <si>
    <t>Estates and Development</t>
  </si>
  <si>
    <t>Other Fixed Assets</t>
  </si>
  <si>
    <t xml:space="preserve"> Less : Accumulated Depreciation </t>
  </si>
  <si>
    <t>Less:Impairment of Assets</t>
  </si>
  <si>
    <t xml:space="preserve"> Net Block </t>
  </si>
  <si>
    <t>Lease Adjustment</t>
  </si>
  <si>
    <t>Asset Transferred</t>
  </si>
  <si>
    <t xml:space="preserve"> Capital Work in Progress </t>
  </si>
  <si>
    <t>Producing Properties</t>
  </si>
  <si>
    <t xml:space="preserve"> Investments </t>
  </si>
  <si>
    <t>Current Assets, Loans &amp; Advances</t>
  </si>
  <si>
    <t xml:space="preserve"> Inventories </t>
  </si>
  <si>
    <t xml:space="preserve"> Sundry Debtors </t>
  </si>
  <si>
    <t xml:space="preserve"> Cash and Bank </t>
  </si>
  <si>
    <t xml:space="preserve"> Loans and Advances </t>
  </si>
  <si>
    <t>Total Current Assets</t>
  </si>
  <si>
    <t>Less : Current Liabilities and Provisions</t>
  </si>
  <si>
    <t xml:space="preserve"> Current Liabilities </t>
  </si>
  <si>
    <t xml:space="preserve"> Provisions </t>
  </si>
  <si>
    <t>Total Current Liabilities</t>
  </si>
  <si>
    <t>Net Current Assets</t>
  </si>
  <si>
    <t xml:space="preserve"> Miscellaneous Expenses not written off </t>
  </si>
  <si>
    <t>Deferred Tax Assets</t>
  </si>
  <si>
    <t>Deferred Tax Liability</t>
  </si>
  <si>
    <t>Net Deferred Tax</t>
  </si>
  <si>
    <t xml:space="preserve"> Other Assets </t>
  </si>
  <si>
    <t>Total Assets</t>
  </si>
  <si>
    <t xml:space="preserve"> Contingent Liabilities </t>
  </si>
  <si>
    <t>Disclaimer:-</t>
  </si>
  <si>
    <t>Capitaline Database has taken due care and caution in compilation of data.However, Capitaline Database makes no warranty that the service will meet all your requirements, the service will be uninterrupted, timely, complete, error-free, or the results that may be obtained from the use of the service will be accurate. Use of data from Capitaline is permitted only to the licensee and its employees internal usage.The Licensee shall not use Capitaline or data from Capitaline or permit any third party to do so in order to provide data processing ,advisory, research service to third party by way of trade or otherwise. The Licensee shall also not make the data available on a network that extends beyond the Licensee's premises . In the event of unauthorised use of Capitaline or data from Capitaline by the Licensee, Capital Market publishers india pvt ltd will terminate the subscription immediately.</t>
  </si>
  <si>
    <t>Finance &gt;&gt;Cash Flow (Standalone)&gt;&gt;Hindustan Unilever Ltd(Curr. Rs in )</t>
  </si>
  <si>
    <t>Cash Flow Summary</t>
  </si>
  <si>
    <t>Cash and Cash Equivalents at Beginning of the year</t>
  </si>
  <si>
    <t xml:space="preserve"> Net Cash from Operating Activities </t>
  </si>
  <si>
    <t xml:space="preserve"> Net Cash Used in Investing Activities </t>
  </si>
  <si>
    <t xml:space="preserve"> Net Cash Used in Financing Activities </t>
  </si>
  <si>
    <t>Net Inc/(Dec) in Cash and Cash Equivalent</t>
  </si>
  <si>
    <t>Cash and Cash Equivalents at End of the year</t>
  </si>
  <si>
    <t>Growth</t>
  </si>
  <si>
    <t> Total Expenditure% of sales</t>
  </si>
  <si>
    <t>Increase in Income</t>
  </si>
  <si>
    <t>Depreciation% of assets</t>
  </si>
  <si>
    <t>Terminal
Year</t>
  </si>
  <si>
    <t>Working Capital Schedule</t>
  </si>
  <si>
    <t>Non-Cash Current Assets</t>
  </si>
  <si>
    <t>Non-Debt current Liablities</t>
  </si>
  <si>
    <t>Net Working Capital</t>
  </si>
  <si>
    <t>Present Value of CF</t>
  </si>
  <si>
    <t>Value of Firm</t>
  </si>
  <si>
    <r>
      <t>EBIT</t>
    </r>
    <r>
      <rPr>
        <sz val="10"/>
        <color theme="1"/>
        <rFont val="Calibri"/>
        <family val="2"/>
      </rPr>
      <t>(Operating Income)</t>
    </r>
  </si>
  <si>
    <t>Increase in Net Sales</t>
  </si>
  <si>
    <t>WC% of Revenue</t>
  </si>
  <si>
    <t>ROC Shedule</t>
  </si>
  <si>
    <t>BV of Debt</t>
  </si>
  <si>
    <t>BV of Equity</t>
  </si>
  <si>
    <t>Cash</t>
  </si>
  <si>
    <t>Enterprise Value</t>
  </si>
  <si>
    <t>Dividend Payout Schedule</t>
  </si>
  <si>
    <t>EPS</t>
  </si>
  <si>
    <t>Dividend Payout Ratio</t>
  </si>
  <si>
    <t>Number of Shares</t>
  </si>
  <si>
    <t>Reserve and Surplus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</si>
</sst>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
    <numFmt numFmtId="166" formatCode="&quot;₹&quot;\ #,##0"/>
    <numFmt numFmtId="167" formatCode="0\A"/>
    <numFmt numFmtId="168" formatCode="0\F"/>
    <numFmt numFmtId="169" formatCode="0.0%"/>
    <numFmt numFmtId="170" formatCode="&quot;WACC= &quot;0.00%"/>
  </numFmts>
  <fonts count="37">
    <font>
      <sz val="11"/>
      <color theme="1"/>
      <name val="Calibri"/>
      <family val="2"/>
    </font>
    <font>
      <sz val="11"/>
      <color theme="1"/>
      <name val="Calibri"/>
      <family val="2"/>
    </font>
    <font>
      <b/>
      <sz val="11"/>
      <color theme="1"/>
      <name val="Calibri"/>
      <family val="2"/>
    </font>
    <font>
      <vertAlign val="subscript"/>
      <sz val="11"/>
      <color theme="1"/>
      <name val="Calibri"/>
      <family val="2"/>
    </font>
    <font>
      <b/>
      <vertAlign val="subscript"/>
      <sz val="11"/>
      <color theme="1"/>
      <name val="Calibri"/>
      <family val="2"/>
    </font>
    <font>
      <i/>
      <sz val="9"/>
      <color theme="1"/>
      <name val="Calibri"/>
      <family val="2"/>
    </font>
    <font>
      <i/>
      <vertAlign val="superscript"/>
      <sz val="9"/>
      <color theme="1"/>
      <name val="Calibri"/>
      <family val="2"/>
    </font>
    <font>
      <i/>
      <sz val="9"/>
      <name val="Times New Roman"/>
      <family val="1"/>
    </font>
    <font>
      <sz val="9"/>
      <name val="Times New Roman"/>
      <family val="1"/>
    </font>
    <font>
      <sz val="9"/>
      <name val="Geneva"/>
    </font>
    <font>
      <sz val="9"/>
      <name val="Arial"/>
      <family val="2"/>
    </font>
    <font>
      <b/>
      <sz val="11"/>
      <color rgb="FF0070C0"/>
      <name val="Calibri"/>
      <family val="2"/>
    </font>
    <font>
      <i/>
      <sz val="11"/>
      <color theme="1"/>
      <name val="Calibri"/>
      <family val="2"/>
    </font>
    <font>
      <sz val="11"/>
      <color rgb="FF0070C0"/>
      <name val="Calibri"/>
      <family val="2"/>
    </font>
    <font>
      <b/>
      <sz val="9"/>
      <color theme="1"/>
      <name val="Calibri"/>
      <family val="2"/>
    </font>
    <font>
      <b/>
      <vertAlign val="subscript"/>
      <sz val="9"/>
      <color theme="1"/>
      <name val="Calibri"/>
      <family val="2"/>
    </font>
    <font>
      <sz val="10"/>
      <color theme="1"/>
      <name val="Calibri"/>
      <family val="2"/>
    </font>
    <font>
      <sz val="9"/>
      <color theme="1"/>
      <name val="Calibri"/>
      <family val="2"/>
    </font>
    <font>
      <sz val="18"/>
      <color theme="3"/>
      <name val="Aptos Display"/>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sz val="11"/>
      <color theme="0"/>
      <name val="Calibri"/>
      <family val="2"/>
    </font>
    <font>
      <sz val="10"/>
      <color theme="1"/>
      <name val="Arial Unicode MS"/>
      <family val="2"/>
    </font>
    <font>
      <b/>
      <sz val="10"/>
      <color theme="1"/>
      <name val="Arial Unicode MS"/>
      <family val="2"/>
    </font>
    <font>
      <b/>
      <sz val="10"/>
      <color theme="1"/>
      <name val="Calibri"/>
      <family val="2"/>
    </font>
    <font>
      <sz val="11"/>
      <color theme="0" tint="-0.14999847407452621"/>
      <name val="Calibri"/>
      <family val="2"/>
    </font>
  </fonts>
  <fills count="40">
    <fill>
      <patternFill patternType="none"/>
    </fill>
    <fill>
      <patternFill patternType="gray125"/>
    </fill>
    <fill>
      <patternFill patternType="solid">
        <fgColor rgb="FFFFFFFF"/>
        <bgColor indexed="64"/>
      </patternFill>
    </fill>
    <fill>
      <patternFill patternType="solid">
        <fgColor rgb="FFE7E6E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6">
    <border>
      <left/>
      <right/>
      <top/>
      <bottom/>
      <diagonal/>
    </border>
    <border>
      <left/>
      <right/>
      <top/>
      <bottom style="thin">
        <color auto="1"/>
      </bottom>
      <diagonal/>
    </border>
    <border>
      <left/>
      <right/>
      <top style="hair">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dashed">
        <color auto="1"/>
      </top>
      <bottom style="medium">
        <color auto="1"/>
      </bottom>
      <diagonal/>
    </border>
    <border>
      <left/>
      <right/>
      <top/>
      <bottom style="hair">
        <color auto="1"/>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dashed">
        <color auto="1"/>
      </top>
      <bottom style="dashed">
        <color auto="1"/>
      </bottom>
      <diagonal/>
    </border>
    <border>
      <left style="thin">
        <color auto="1"/>
      </left>
      <right/>
      <top style="thin">
        <color auto="1"/>
      </top>
      <bottom style="dashed">
        <color auto="1"/>
      </bottom>
      <diagonal/>
    </border>
    <border>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thin">
        <color auto="1"/>
      </bottom>
      <diagonal/>
    </border>
    <border>
      <left/>
      <right/>
      <top style="thin">
        <color auto="1"/>
      </top>
      <bottom style="medium">
        <color auto="1"/>
      </bottom>
      <diagonal/>
    </border>
    <border>
      <left/>
      <right/>
      <top style="hair">
        <color auto="1"/>
      </top>
      <bottom style="hair">
        <color auto="1"/>
      </bottom>
      <diagonal/>
    </border>
    <border>
      <left/>
      <right/>
      <top style="dotted">
        <color auto="1"/>
      </top>
      <bottom style="dotted">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s>
  <cellStyleXfs count="43">
    <xf numFmtId="0" fontId="0" fillId="0" borderId="0"/>
    <xf numFmtId="9" fontId="1" fillId="0" borderId="0" applyFont="0" applyFill="0" applyBorder="0" applyAlignment="0" applyProtection="0"/>
    <xf numFmtId="0" fontId="18" fillId="0" borderId="0" applyNumberFormat="0" applyFill="0" applyBorder="0" applyAlignment="0" applyProtection="0"/>
    <xf numFmtId="0" fontId="19" fillId="0" borderId="19" applyNumberFormat="0" applyFill="0" applyAlignment="0" applyProtection="0"/>
    <xf numFmtId="0" fontId="20" fillId="0" borderId="20" applyNumberFormat="0" applyFill="0" applyAlignment="0" applyProtection="0"/>
    <xf numFmtId="0" fontId="21" fillId="0" borderId="21" applyNumberFormat="0" applyFill="0" applyAlignment="0" applyProtection="0"/>
    <xf numFmtId="0" fontId="21" fillId="0" borderId="0" applyNumberFormat="0" applyFill="0" applyBorder="0" applyAlignment="0" applyProtection="0"/>
    <xf numFmtId="0" fontId="22" fillId="9" borderId="0" applyNumberFormat="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22" applyNumberFormat="0" applyAlignment="0" applyProtection="0"/>
    <xf numFmtId="0" fontId="26" fillId="13" borderId="23" applyNumberFormat="0" applyAlignment="0" applyProtection="0"/>
    <xf numFmtId="0" fontId="27" fillId="13" borderId="22" applyNumberFormat="0" applyAlignment="0" applyProtection="0"/>
    <xf numFmtId="0" fontId="28" fillId="0" borderId="24" applyNumberFormat="0" applyFill="0" applyAlignment="0" applyProtection="0"/>
    <xf numFmtId="0" fontId="29" fillId="14" borderId="25" applyNumberFormat="0" applyAlignment="0" applyProtection="0"/>
    <xf numFmtId="0" fontId="30" fillId="0" borderId="0" applyNumberFormat="0" applyFill="0" applyBorder="0" applyAlignment="0" applyProtection="0"/>
    <xf numFmtId="0" fontId="1" fillId="15" borderId="26" applyNumberFormat="0" applyFont="0" applyAlignment="0" applyProtection="0"/>
    <xf numFmtId="0" fontId="31" fillId="0" borderId="0" applyNumberFormat="0" applyFill="0" applyBorder="0" applyAlignment="0" applyProtection="0"/>
    <xf numFmtId="0" fontId="2" fillId="0" borderId="27" applyNumberFormat="0" applyFill="0" applyAlignment="0" applyProtection="0"/>
    <xf numFmtId="0" fontId="3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149">
    <xf numFmtId="0" fontId="0" fillId="0" borderId="0" xfId="0"/>
    <xf numFmtId="0" fontId="2" fillId="0" borderId="0" xfId="0" applyFont="1"/>
    <xf numFmtId="0" fontId="2" fillId="0" borderId="1" xfId="0" applyFont="1" applyBorder="1"/>
    <xf numFmtId="0" fontId="0" fillId="0" borderId="1" xfId="0" applyBorder="1"/>
    <xf numFmtId="0" fontId="0" fillId="0" borderId="2" xfId="0" applyBorder="1"/>
    <xf numFmtId="0" fontId="0" fillId="0" borderId="0" xfId="0" quotePrefix="1"/>
    <xf numFmtId="0" fontId="5" fillId="0" borderId="0" xfId="0" applyFont="1"/>
    <xf numFmtId="0" fontId="7" fillId="3" borderId="3" xfId="0" applyFont="1" applyFill="1" applyBorder="1"/>
    <xf numFmtId="0" fontId="7" fillId="3" borderId="4"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xf numFmtId="10" fontId="9" fillId="2" borderId="6" xfId="0" applyNumberFormat="1" applyFont="1" applyFill="1" applyBorder="1" applyAlignment="1">
      <alignment horizontal="center"/>
    </xf>
    <xf numFmtId="0" fontId="9" fillId="2" borderId="6" xfId="0" applyFont="1" applyFill="1" applyBorder="1" applyAlignment="1">
      <alignment horizontal="center"/>
    </xf>
    <xf numFmtId="0" fontId="9" fillId="3" borderId="5" xfId="0" applyFont="1" applyFill="1" applyBorder="1"/>
    <xf numFmtId="0" fontId="10" fillId="2" borderId="5" xfId="0" applyFont="1" applyFill="1" applyBorder="1" applyAlignment="1">
      <alignment horizontal="left"/>
    </xf>
    <xf numFmtId="0" fontId="0" fillId="4" borderId="0" xfId="0" applyFill="1"/>
    <xf numFmtId="164" fontId="11" fillId="4" borderId="0" xfId="0" applyNumberFormat="1" applyFont="1" applyFill="1"/>
    <xf numFmtId="0" fontId="0" fillId="5" borderId="0" xfId="0" applyFill="1"/>
    <xf numFmtId="0" fontId="0" fillId="5" borderId="0" xfId="0" applyFill="1" applyAlignment="1">
      <alignment horizontal="right"/>
    </xf>
    <xf numFmtId="10" fontId="0" fillId="5" borderId="0" xfId="1" applyNumberFormat="1" applyFont="1" applyFill="1"/>
    <xf numFmtId="164" fontId="0" fillId="5" borderId="0" xfId="0" applyNumberFormat="1" applyFill="1"/>
    <xf numFmtId="0" fontId="2" fillId="5" borderId="7" xfId="0" applyFont="1" applyFill="1" applyBorder="1"/>
    <xf numFmtId="164" fontId="2" fillId="5" borderId="7" xfId="0" applyNumberFormat="1" applyFont="1" applyFill="1" applyBorder="1"/>
    <xf numFmtId="0" fontId="2" fillId="0" borderId="8" xfId="0" applyFont="1" applyBorder="1"/>
    <xf numFmtId="0" fontId="0" fillId="0" borderId="8" xfId="0" applyBorder="1"/>
    <xf numFmtId="14" fontId="0" fillId="6" borderId="0" xfId="0" applyNumberFormat="1" applyFill="1"/>
    <xf numFmtId="2" fontId="0" fillId="6" borderId="0" xfId="0" applyNumberFormat="1" applyFill="1"/>
    <xf numFmtId="0" fontId="0" fillId="6" borderId="0" xfId="0" applyFill="1"/>
    <xf numFmtId="10" fontId="0" fillId="6" borderId="0" xfId="1" applyNumberFormat="1" applyFont="1" applyFill="1"/>
    <xf numFmtId="0" fontId="0" fillId="0" borderId="9" xfId="0" applyBorder="1"/>
    <xf numFmtId="0" fontId="12" fillId="0" borderId="10" xfId="0" applyFont="1" applyBorder="1" applyAlignment="1">
      <alignment horizontal="center"/>
    </xf>
    <xf numFmtId="0" fontId="12" fillId="0" borderId="10" xfId="0" applyFont="1" applyBorder="1" applyAlignment="1">
      <alignment horizontal="centerContinuous"/>
    </xf>
    <xf numFmtId="0" fontId="2" fillId="6" borderId="0" xfId="0" applyFont="1" applyFill="1"/>
    <xf numFmtId="0" fontId="2" fillId="6" borderId="7" xfId="0" applyFont="1" applyFill="1" applyBorder="1"/>
    <xf numFmtId="0" fontId="0" fillId="6" borderId="7" xfId="0" applyFill="1" applyBorder="1"/>
    <xf numFmtId="0" fontId="2" fillId="0" borderId="0" xfId="0" applyFont="1" applyAlignment="1">
      <alignment horizontal="center"/>
    </xf>
    <xf numFmtId="165" fontId="0" fillId="0" borderId="0" xfId="0" applyNumberFormat="1"/>
    <xf numFmtId="0" fontId="13" fillId="0" borderId="11" xfId="0" applyFont="1" applyBorder="1"/>
    <xf numFmtId="9" fontId="13" fillId="0" borderId="11" xfId="0" applyNumberFormat="1" applyFont="1" applyBorder="1"/>
    <xf numFmtId="10" fontId="0" fillId="0" borderId="11" xfId="1" applyNumberFormat="1" applyFont="1" applyBorder="1"/>
    <xf numFmtId="165" fontId="0" fillId="0" borderId="11" xfId="0" applyNumberFormat="1" applyBorder="1"/>
    <xf numFmtId="0" fontId="2" fillId="0" borderId="14" xfId="0" applyFont="1" applyBorder="1"/>
    <xf numFmtId="0" fontId="13" fillId="0" borderId="15" xfId="0" applyFont="1" applyBorder="1"/>
    <xf numFmtId="9" fontId="13" fillId="0" borderId="15" xfId="0" applyNumberFormat="1" applyFont="1" applyBorder="1"/>
    <xf numFmtId="10" fontId="0" fillId="0" borderId="15" xfId="1" applyNumberFormat="1" applyFont="1" applyBorder="1"/>
    <xf numFmtId="165" fontId="0" fillId="0" borderId="15" xfId="0" applyNumberFormat="1" applyBorder="1"/>
    <xf numFmtId="165" fontId="0" fillId="4" borderId="0" xfId="0" applyNumberFormat="1" applyFill="1"/>
    <xf numFmtId="0" fontId="0" fillId="0" borderId="0" xfId="0" applyAlignment="1">
      <alignment horizontal="left"/>
    </xf>
    <xf numFmtId="0" fontId="13" fillId="0" borderId="0" xfId="0" applyFont="1"/>
    <xf numFmtId="9" fontId="13" fillId="0" borderId="0" xfId="0" applyNumberFormat="1" applyFont="1"/>
    <xf numFmtId="10" fontId="0" fillId="0" borderId="0" xfId="1" applyNumberFormat="1" applyFont="1" applyBorder="1"/>
    <xf numFmtId="0" fontId="2" fillId="4" borderId="0" xfId="0" applyFont="1" applyFill="1"/>
    <xf numFmtId="10" fontId="0" fillId="4" borderId="0" xfId="1" applyNumberFormat="1" applyFont="1" applyFill="1"/>
    <xf numFmtId="0" fontId="2" fillId="0" borderId="16" xfId="0" applyFont="1" applyBorder="1"/>
    <xf numFmtId="0" fontId="0" fillId="0" borderId="17" xfId="0" applyBorder="1"/>
    <xf numFmtId="10" fontId="0" fillId="0" borderId="17" xfId="1" applyNumberFormat="1" applyFont="1" applyBorder="1"/>
    <xf numFmtId="0" fontId="14" fillId="0" borderId="0" xfId="0" applyFont="1"/>
    <xf numFmtId="0" fontId="5" fillId="0" borderId="0" xfId="0" applyFont="1" applyAlignment="1">
      <alignment vertical="top"/>
    </xf>
    <xf numFmtId="14" fontId="0" fillId="0" borderId="0" xfId="0" applyNumberFormat="1"/>
    <xf numFmtId="2" fontId="0" fillId="0" borderId="0" xfId="0" applyNumberFormat="1"/>
    <xf numFmtId="10" fontId="0" fillId="0" borderId="0" xfId="1" applyNumberFormat="1" applyFont="1"/>
    <xf numFmtId="4" fontId="0" fillId="0" borderId="0" xfId="0" applyNumberFormat="1"/>
    <xf numFmtId="0" fontId="0" fillId="7" borderId="0" xfId="0" applyFill="1"/>
    <xf numFmtId="10" fontId="0" fillId="7" borderId="0" xfId="1" applyNumberFormat="1" applyFont="1" applyFill="1"/>
    <xf numFmtId="0" fontId="2" fillId="7" borderId="0" xfId="0" applyFont="1" applyFill="1"/>
    <xf numFmtId="0" fontId="0" fillId="8" borderId="0" xfId="0" applyFill="1"/>
    <xf numFmtId="10" fontId="0" fillId="8" borderId="0" xfId="1" applyNumberFormat="1" applyFont="1" applyFill="1"/>
    <xf numFmtId="10" fontId="0" fillId="0" borderId="0" xfId="0" applyNumberFormat="1"/>
    <xf numFmtId="10" fontId="0" fillId="8" borderId="0" xfId="0" applyNumberFormat="1" applyFill="1"/>
    <xf numFmtId="0" fontId="2" fillId="8" borderId="0" xfId="0" applyFont="1" applyFill="1"/>
    <xf numFmtId="10" fontId="2" fillId="8" borderId="0" xfId="0" applyNumberFormat="1" applyFont="1" applyFill="1"/>
    <xf numFmtId="0" fontId="2" fillId="0" borderId="1" xfId="0" applyFont="1" applyBorder="1" applyAlignment="1">
      <alignment horizontal="center"/>
    </xf>
    <xf numFmtId="0" fontId="14" fillId="0" borderId="1" xfId="0" applyFont="1" applyBorder="1"/>
    <xf numFmtId="10" fontId="0" fillId="0" borderId="1" xfId="0" applyNumberFormat="1" applyBorder="1"/>
    <xf numFmtId="10" fontId="2" fillId="0" borderId="16" xfId="0" applyNumberFormat="1" applyFont="1" applyBorder="1"/>
    <xf numFmtId="9" fontId="0" fillId="0" borderId="0" xfId="0" applyNumberFormat="1"/>
    <xf numFmtId="0" fontId="0" fillId="0" borderId="18" xfId="0" applyBorder="1"/>
    <xf numFmtId="9" fontId="0" fillId="0" borderId="18" xfId="0" applyNumberFormat="1" applyBorder="1"/>
    <xf numFmtId="10" fontId="0" fillId="0" borderId="18" xfId="0" applyNumberFormat="1" applyBorder="1"/>
    <xf numFmtId="10" fontId="0" fillId="0" borderId="18" xfId="1" applyNumberFormat="1" applyFont="1" applyBorder="1"/>
    <xf numFmtId="166" fontId="0" fillId="8" borderId="0" xfId="0" applyNumberFormat="1" applyFill="1"/>
    <xf numFmtId="0" fontId="2" fillId="0" borderId="29" xfId="0" applyFont="1" applyBorder="1"/>
    <xf numFmtId="1" fontId="2" fillId="0" borderId="29" xfId="0" applyNumberFormat="1" applyFont="1" applyBorder="1"/>
    <xf numFmtId="1" fontId="2" fillId="0" borderId="0" xfId="0" applyNumberFormat="1" applyFont="1"/>
    <xf numFmtId="167" fontId="2" fillId="0" borderId="0" xfId="0" applyNumberFormat="1" applyFont="1"/>
    <xf numFmtId="168" fontId="2" fillId="0" borderId="1" xfId="0" applyNumberFormat="1" applyFont="1" applyBorder="1"/>
    <xf numFmtId="0" fontId="16" fillId="0" borderId="0" xfId="0" applyFont="1" applyAlignment="1">
      <alignment horizontal="left" wrapText="1"/>
    </xf>
    <xf numFmtId="2" fontId="0" fillId="0" borderId="0" xfId="1" applyNumberFormat="1" applyFont="1"/>
    <xf numFmtId="0" fontId="16" fillId="0" borderId="29" xfId="0" applyFont="1" applyBorder="1" applyAlignment="1">
      <alignment horizontal="left" wrapText="1"/>
    </xf>
    <xf numFmtId="10" fontId="17" fillId="0" borderId="0" xfId="1" applyNumberFormat="1" applyFont="1"/>
    <xf numFmtId="10" fontId="5" fillId="0" borderId="0" xfId="0" applyNumberFormat="1" applyFont="1"/>
    <xf numFmtId="1" fontId="16" fillId="0" borderId="29" xfId="0" applyNumberFormat="1" applyFont="1" applyBorder="1" applyAlignment="1">
      <alignment wrapText="1"/>
    </xf>
    <xf numFmtId="1" fontId="16" fillId="0" borderId="0" xfId="0" applyNumberFormat="1" applyFont="1" applyAlignment="1">
      <alignment wrapText="1"/>
    </xf>
    <xf numFmtId="0" fontId="32" fillId="0" borderId="0" xfId="0" applyFont="1"/>
    <xf numFmtId="10" fontId="5" fillId="0" borderId="0" xfId="1" applyNumberFormat="1" applyFont="1" applyBorder="1" applyAlignment="1">
      <alignment wrapText="1"/>
    </xf>
    <xf numFmtId="1" fontId="16" fillId="4" borderId="0" xfId="0" applyNumberFormat="1" applyFont="1" applyFill="1" applyAlignment="1">
      <alignment wrapText="1"/>
    </xf>
    <xf numFmtId="0" fontId="35" fillId="0" borderId="16" xfId="0" applyFont="1" applyBorder="1" applyAlignment="1">
      <alignment horizontal="left" wrapText="1"/>
    </xf>
    <xf numFmtId="1" fontId="35" fillId="4" borderId="29" xfId="0" applyNumberFormat="1" applyFont="1" applyFill="1" applyBorder="1" applyAlignment="1">
      <alignment wrapText="1"/>
    </xf>
    <xf numFmtId="0" fontId="35" fillId="0" borderId="0" xfId="0" applyFont="1" applyAlignment="1">
      <alignment wrapText="1"/>
    </xf>
    <xf numFmtId="1" fontId="35" fillId="0" borderId="29" xfId="0" applyNumberFormat="1" applyFont="1" applyBorder="1" applyAlignment="1">
      <alignment wrapText="1"/>
    </xf>
    <xf numFmtId="1" fontId="2" fillId="4" borderId="0" xfId="0" applyNumberFormat="1" applyFont="1" applyFill="1"/>
    <xf numFmtId="1" fontId="5" fillId="0" borderId="0" xfId="0" applyNumberFormat="1" applyFont="1" applyAlignment="1">
      <alignment wrapText="1"/>
    </xf>
    <xf numFmtId="10" fontId="5" fillId="4" borderId="0" xfId="1" applyNumberFormat="1" applyFont="1" applyFill="1" applyBorder="1" applyAlignment="1">
      <alignment wrapText="1"/>
    </xf>
    <xf numFmtId="2" fontId="0" fillId="4" borderId="0" xfId="1" applyNumberFormat="1" applyFont="1" applyFill="1"/>
    <xf numFmtId="0" fontId="5" fillId="0" borderId="0" xfId="0" applyFont="1" applyAlignment="1">
      <alignment horizontal="left" wrapText="1"/>
    </xf>
    <xf numFmtId="0" fontId="35" fillId="0" borderId="29" xfId="0" applyFont="1" applyBorder="1" applyAlignment="1">
      <alignment horizontal="left" wrapText="1"/>
    </xf>
    <xf numFmtId="1" fontId="35" fillId="0" borderId="16" xfId="0" applyNumberFormat="1" applyFont="1" applyBorder="1" applyAlignment="1">
      <alignment wrapText="1"/>
    </xf>
    <xf numFmtId="10" fontId="5" fillId="4" borderId="0" xfId="0" applyNumberFormat="1" applyFont="1" applyFill="1"/>
    <xf numFmtId="0" fontId="34" fillId="0" borderId="28" xfId="0" applyFont="1" applyBorder="1" applyAlignment="1">
      <alignment horizontal="center" vertical="center" wrapText="1"/>
    </xf>
    <xf numFmtId="0" fontId="0" fillId="0" borderId="28" xfId="0" applyBorder="1" applyAlignment="1">
      <alignment wrapText="1"/>
    </xf>
    <xf numFmtId="0" fontId="33" fillId="0" borderId="28" xfId="0" applyFont="1" applyBorder="1" applyAlignment="1">
      <alignment wrapText="1"/>
    </xf>
    <xf numFmtId="4" fontId="33" fillId="0" borderId="28" xfId="0" applyNumberFormat="1" applyFont="1" applyBorder="1" applyAlignment="1">
      <alignment wrapText="1"/>
    </xf>
    <xf numFmtId="0" fontId="0" fillId="0" borderId="33" xfId="0" applyBorder="1"/>
    <xf numFmtId="0" fontId="0" fillId="0" borderId="34" xfId="0" applyBorder="1"/>
    <xf numFmtId="0" fontId="0" fillId="0" borderId="35" xfId="0" applyBorder="1"/>
    <xf numFmtId="168" fontId="2" fillId="4" borderId="1" xfId="0" applyNumberFormat="1" applyFont="1" applyFill="1" applyBorder="1"/>
    <xf numFmtId="0" fontId="16" fillId="0" borderId="0" xfId="0" applyFont="1" applyAlignment="1">
      <alignment wrapText="1"/>
    </xf>
    <xf numFmtId="1" fontId="0" fillId="0" borderId="0" xfId="0" applyNumberFormat="1"/>
    <xf numFmtId="1" fontId="0" fillId="4" borderId="0" xfId="0" applyNumberFormat="1" applyFill="1"/>
    <xf numFmtId="1" fontId="35" fillId="4" borderId="16" xfId="0" applyNumberFormat="1" applyFont="1" applyFill="1" applyBorder="1" applyAlignment="1">
      <alignment wrapText="1"/>
    </xf>
    <xf numFmtId="4" fontId="0" fillId="4" borderId="0" xfId="0" applyNumberFormat="1" applyFill="1"/>
    <xf numFmtId="1" fontId="2" fillId="4" borderId="29" xfId="0" applyNumberFormat="1" applyFont="1" applyFill="1" applyBorder="1"/>
    <xf numFmtId="0" fontId="2" fillId="4" borderId="0" xfId="0" applyFont="1" applyFill="1" applyAlignment="1">
      <alignment wrapText="1"/>
    </xf>
    <xf numFmtId="164" fontId="2" fillId="0" borderId="16" xfId="0" applyNumberFormat="1" applyFont="1" applyBorder="1"/>
    <xf numFmtId="9" fontId="0" fillId="0" borderId="0" xfId="1" applyFont="1"/>
    <xf numFmtId="169" fontId="0" fillId="0" borderId="0" xfId="1" applyNumberFormat="1" applyFont="1"/>
    <xf numFmtId="4" fontId="0" fillId="0" borderId="29" xfId="0" applyNumberFormat="1" applyBorder="1"/>
    <xf numFmtId="0" fontId="0" fillId="0" borderId="29" xfId="0" applyBorder="1"/>
    <xf numFmtId="167" fontId="2" fillId="0" borderId="1" xfId="0" applyNumberFormat="1" applyFont="1" applyBorder="1"/>
    <xf numFmtId="0" fontId="36" fillId="4" borderId="0" xfId="0" applyFont="1" applyFill="1" applyAlignment="1">
      <alignment wrapText="1"/>
    </xf>
    <xf numFmtId="1" fontId="16" fillId="0" borderId="0" xfId="0" applyNumberFormat="1" applyFont="1" applyAlignment="1">
      <alignment horizontal="right" wrapText="1"/>
    </xf>
    <xf numFmtId="1" fontId="16" fillId="4" borderId="0" xfId="0" applyNumberFormat="1" applyFont="1" applyFill="1" applyAlignment="1">
      <alignment horizontal="right" wrapText="1"/>
    </xf>
    <xf numFmtId="10" fontId="2" fillId="0" borderId="29" xfId="1" applyNumberFormat="1" applyFont="1" applyBorder="1"/>
    <xf numFmtId="170" fontId="2" fillId="0" borderId="0" xfId="1" applyNumberFormat="1" applyFont="1"/>
    <xf numFmtId="0" fontId="2" fillId="0" borderId="0" xfId="0" applyFont="1" applyAlignment="1">
      <alignment horizontal="center"/>
    </xf>
    <xf numFmtId="0" fontId="0" fillId="0" borderId="0" xfId="0" quotePrefix="1" applyAlignment="1">
      <alignment horizontal="left" wrapText="1"/>
    </xf>
    <xf numFmtId="0" fontId="2" fillId="4" borderId="0" xfId="0" applyFont="1" applyFill="1" applyAlignment="1">
      <alignment horizontal="left"/>
    </xf>
    <xf numFmtId="0" fontId="0" fillId="0" borderId="15" xfId="0" applyBorder="1" applyAlignment="1">
      <alignment horizontal="left"/>
    </xf>
    <xf numFmtId="0" fontId="2" fillId="0" borderId="12" xfId="0" applyFont="1" applyBorder="1" applyAlignment="1">
      <alignment horizontal="left"/>
    </xf>
    <xf numFmtId="0" fontId="2" fillId="0" borderId="13" xfId="0" applyFont="1" applyBorder="1" applyAlignment="1">
      <alignment horizontal="left"/>
    </xf>
    <xf numFmtId="0" fontId="0" fillId="0" borderId="11" xfId="0" applyBorder="1" applyAlignment="1">
      <alignment horizontal="left"/>
    </xf>
    <xf numFmtId="0" fontId="2" fillId="0" borderId="9" xfId="0" applyFont="1" applyBorder="1" applyAlignment="1">
      <alignment horizontal="center"/>
    </xf>
    <xf numFmtId="0" fontId="0" fillId="8" borderId="0" xfId="0" applyFill="1" applyAlignment="1">
      <alignment horizontal="left" wrapText="1"/>
    </xf>
    <xf numFmtId="10" fontId="0" fillId="8" borderId="0" xfId="0" applyNumberFormat="1" applyFill="1" applyAlignment="1">
      <alignment horizontal="center"/>
    </xf>
    <xf numFmtId="0" fontId="0" fillId="8" borderId="0" xfId="0" applyFill="1" applyAlignment="1">
      <alignment horizontal="center"/>
    </xf>
    <xf numFmtId="0" fontId="2" fillId="0" borderId="0" xfId="0" applyFont="1" applyAlignment="1">
      <alignment horizontal="right"/>
    </xf>
    <xf numFmtId="0" fontId="34" fillId="0" borderId="30" xfId="0" applyFont="1" applyBorder="1" applyAlignment="1">
      <alignment horizontal="center" vertical="center" wrapText="1"/>
    </xf>
    <xf numFmtId="0" fontId="34" fillId="0" borderId="31" xfId="0" applyFont="1" applyBorder="1" applyAlignment="1">
      <alignment horizontal="center" vertical="center" wrapText="1"/>
    </xf>
    <xf numFmtId="0" fontId="34" fillId="0" borderId="32" xfId="0" applyFont="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594306</xdr:colOff>
      <xdr:row>3</xdr:row>
      <xdr:rowOff>22860</xdr:rowOff>
    </xdr:from>
    <xdr:to>
      <xdr:col>21</xdr:col>
      <xdr:colOff>239455</xdr:colOff>
      <xdr:row>27</xdr:row>
      <xdr:rowOff>29717</xdr:rowOff>
    </xdr:to>
    <xdr:pic>
      <xdr:nvPicPr>
        <xdr:cNvPr id="2" name="Picture 1">
          <a:extLst>
            <a:ext uri="{FF2B5EF4-FFF2-40B4-BE49-F238E27FC236}">
              <a16:creationId xmlns:a16="http://schemas.microsoft.com/office/drawing/2014/main" id="{6C8BEA1A-4E74-2553-8DE1-5BB906FBC2F1}"/>
            </a:ext>
          </a:extLst>
        </xdr:cNvPr>
        <xdr:cNvPicPr>
          <a:picLocks noChangeAspect="1"/>
        </xdr:cNvPicPr>
      </xdr:nvPicPr>
      <xdr:blipFill>
        <a:blip xmlns:r="http://schemas.openxmlformats.org/officeDocument/2006/relationships" r:embed="rId1"/>
        <a:stretch>
          <a:fillRect/>
        </a:stretch>
      </xdr:blipFill>
      <xdr:spPr>
        <a:xfrm>
          <a:off x="7429446" y="571500"/>
          <a:ext cx="5131549" cy="44035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12</xdr:row>
      <xdr:rowOff>66462</xdr:rowOff>
    </xdr:from>
    <xdr:to>
      <xdr:col>4</xdr:col>
      <xdr:colOff>929640</xdr:colOff>
      <xdr:row>18</xdr:row>
      <xdr:rowOff>38366</xdr:rowOff>
    </xdr:to>
    <xdr:grpSp>
      <xdr:nvGrpSpPr>
        <xdr:cNvPr id="4" name="Group 3">
          <a:extLst>
            <a:ext uri="{FF2B5EF4-FFF2-40B4-BE49-F238E27FC236}">
              <a16:creationId xmlns:a16="http://schemas.microsoft.com/office/drawing/2014/main" id="{5563E623-840E-FF7E-09D6-CD9CD906E7F0}"/>
            </a:ext>
          </a:extLst>
        </xdr:cNvPr>
        <xdr:cNvGrpSpPr/>
      </xdr:nvGrpSpPr>
      <xdr:grpSpPr>
        <a:xfrm>
          <a:off x="140970" y="2301662"/>
          <a:ext cx="4687570" cy="1076804"/>
          <a:chOff x="137160" y="2276262"/>
          <a:chExt cx="4442460" cy="1069184"/>
        </a:xfrm>
      </xdr:grpSpPr>
      <xdr:pic>
        <xdr:nvPicPr>
          <xdr:cNvPr id="2" name="Picture 1">
            <a:extLst>
              <a:ext uri="{FF2B5EF4-FFF2-40B4-BE49-F238E27FC236}">
                <a16:creationId xmlns:a16="http://schemas.microsoft.com/office/drawing/2014/main" id="{2416F142-BC3B-D6B8-72D4-FA19572BB033}"/>
              </a:ext>
            </a:extLst>
          </xdr:cNvPr>
          <xdr:cNvPicPr>
            <a:picLocks noChangeAspect="1"/>
          </xdr:cNvPicPr>
        </xdr:nvPicPr>
        <xdr:blipFill>
          <a:blip xmlns:r="http://schemas.openxmlformats.org/officeDocument/2006/relationships" r:embed="rId1"/>
          <a:stretch>
            <a:fillRect/>
          </a:stretch>
        </xdr:blipFill>
        <xdr:spPr>
          <a:xfrm>
            <a:off x="137160" y="2276262"/>
            <a:ext cx="4442460" cy="1069184"/>
          </a:xfrm>
          <a:prstGeom prst="rect">
            <a:avLst/>
          </a:prstGeom>
        </xdr:spPr>
      </xdr:pic>
      <xdr:pic>
        <xdr:nvPicPr>
          <xdr:cNvPr id="3" name="Picture 2">
            <a:extLst>
              <a:ext uri="{FF2B5EF4-FFF2-40B4-BE49-F238E27FC236}">
                <a16:creationId xmlns:a16="http://schemas.microsoft.com/office/drawing/2014/main" id="{8E8B9BEE-8E69-E90C-F67A-A7CF0CC0B1F9}"/>
              </a:ext>
            </a:extLst>
          </xdr:cNvPr>
          <xdr:cNvPicPr>
            <a:picLocks noChangeAspect="1"/>
          </xdr:cNvPicPr>
        </xdr:nvPicPr>
        <xdr:blipFill>
          <a:blip xmlns:r="http://schemas.openxmlformats.org/officeDocument/2006/relationships" r:embed="rId2"/>
          <a:stretch>
            <a:fillRect/>
          </a:stretch>
        </xdr:blipFill>
        <xdr:spPr>
          <a:xfrm>
            <a:off x="3870961" y="3175896"/>
            <a:ext cx="594360" cy="12553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7</xdr:row>
      <xdr:rowOff>45720</xdr:rowOff>
    </xdr:from>
    <xdr:to>
      <xdr:col>8</xdr:col>
      <xdr:colOff>182547</xdr:colOff>
      <xdr:row>15</xdr:row>
      <xdr:rowOff>81645</xdr:rowOff>
    </xdr:to>
    <xdr:pic>
      <xdr:nvPicPr>
        <xdr:cNvPr id="2" name="Picture 1">
          <a:extLst>
            <a:ext uri="{FF2B5EF4-FFF2-40B4-BE49-F238E27FC236}">
              <a16:creationId xmlns:a16="http://schemas.microsoft.com/office/drawing/2014/main" id="{3EC546BD-4933-AC2F-350F-5EA38F3DF352}"/>
            </a:ext>
          </a:extLst>
        </xdr:cNvPr>
        <xdr:cNvPicPr>
          <a:picLocks noChangeAspect="1"/>
        </xdr:cNvPicPr>
      </xdr:nvPicPr>
      <xdr:blipFill>
        <a:blip xmlns:r="http://schemas.openxmlformats.org/officeDocument/2006/relationships" r:embed="rId1"/>
        <a:stretch>
          <a:fillRect/>
        </a:stretch>
      </xdr:blipFill>
      <xdr:spPr>
        <a:xfrm>
          <a:off x="243840" y="1333500"/>
          <a:ext cx="4747823" cy="14989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712A9-06D1-4A3D-A02A-C42763B048FA}">
  <dimension ref="B5:I11"/>
  <sheetViews>
    <sheetView showGridLines="0" tabSelected="1" workbookViewId="0">
      <selection activeCell="J13" sqref="J13"/>
    </sheetView>
  </sheetViews>
  <sheetFormatPr defaultRowHeight="14.5"/>
  <cols>
    <col min="1" max="1" width="1.90625" customWidth="1"/>
    <col min="2" max="2" width="21.08984375" bestFit="1" customWidth="1"/>
  </cols>
  <sheetData>
    <row r="5" spans="2:9">
      <c r="B5" s="2" t="s">
        <v>0</v>
      </c>
      <c r="C5" s="3"/>
      <c r="D5" s="3"/>
      <c r="E5" s="3"/>
      <c r="F5" s="3"/>
      <c r="G5" s="3"/>
      <c r="H5" s="3"/>
      <c r="I5" s="3"/>
    </row>
    <row r="7" spans="2:9">
      <c r="B7" t="s">
        <v>312</v>
      </c>
      <c r="C7" t="s">
        <v>313</v>
      </c>
    </row>
    <row r="8" spans="2:9">
      <c r="B8" t="s">
        <v>314</v>
      </c>
      <c r="C8" s="75">
        <v>0</v>
      </c>
    </row>
    <row r="9" spans="2:9">
      <c r="B9" t="s">
        <v>233</v>
      </c>
      <c r="C9" s="60">
        <f>Rf!C35</f>
        <v>4.648999999999999E-2</v>
      </c>
    </row>
    <row r="10" spans="2:9">
      <c r="B10" t="s">
        <v>315</v>
      </c>
      <c r="C10" s="67">
        <f>Rf!C33</f>
        <v>2.3900000000000001E-2</v>
      </c>
    </row>
    <row r="11" spans="2:9" ht="15" thickBot="1">
      <c r="B11" s="53" t="s">
        <v>316</v>
      </c>
      <c r="C11" s="123">
        <f>SUM(C8:C10)</f>
        <v>7.0389999999999994E-2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AC53-5DAC-422A-A531-F8DE710DF9FB}">
  <dimension ref="B3:W211"/>
  <sheetViews>
    <sheetView showGridLines="0" topLeftCell="A7" zoomScale="114" workbookViewId="0">
      <selection activeCell="I25" sqref="I25"/>
    </sheetView>
  </sheetViews>
  <sheetFormatPr defaultRowHeight="14.5"/>
  <cols>
    <col min="1" max="1" width="1.90625" customWidth="1"/>
    <col min="2" max="2" width="12.81640625" customWidth="1"/>
    <col min="4" max="4" width="11" bestFit="1" customWidth="1"/>
    <col min="11" max="11" width="14.1796875" bestFit="1" customWidth="1"/>
    <col min="15" max="15" width="10.81640625" bestFit="1" customWidth="1"/>
    <col min="16" max="16" width="8.54296875" bestFit="1" customWidth="1"/>
    <col min="21" max="21" width="10.81640625" bestFit="1" customWidth="1"/>
  </cols>
  <sheetData>
    <row r="3" spans="2:23">
      <c r="B3" s="2" t="s">
        <v>234</v>
      </c>
      <c r="C3" s="3"/>
      <c r="D3" s="3"/>
      <c r="E3" s="3"/>
      <c r="F3" s="3"/>
      <c r="G3" s="3"/>
      <c r="H3" s="3"/>
      <c r="I3" s="3"/>
    </row>
    <row r="5" spans="2:23" ht="16.5">
      <c r="B5" s="134" t="s">
        <v>1</v>
      </c>
      <c r="C5" s="134"/>
      <c r="D5" s="1" t="s">
        <v>2</v>
      </c>
    </row>
    <row r="6" spans="2:23" ht="13.75" customHeight="1" thickBot="1">
      <c r="B6" s="35"/>
      <c r="C6" s="35"/>
      <c r="D6" s="56" t="s">
        <v>295</v>
      </c>
      <c r="O6" s="141" t="s">
        <v>298</v>
      </c>
      <c r="P6" s="141"/>
      <c r="Q6" s="141"/>
      <c r="U6" s="141" t="s">
        <v>299</v>
      </c>
      <c r="V6" s="141"/>
      <c r="W6" s="141"/>
    </row>
    <row r="7" spans="2:23">
      <c r="B7" s="4"/>
      <c r="C7" s="4"/>
      <c r="D7" s="4"/>
      <c r="E7" s="4"/>
      <c r="F7" s="4"/>
      <c r="G7" s="4"/>
      <c r="H7" s="4"/>
      <c r="I7" s="4"/>
      <c r="O7" s="2" t="s">
        <v>236</v>
      </c>
      <c r="P7" s="2" t="s">
        <v>237</v>
      </c>
      <c r="Q7" s="2" t="s">
        <v>238</v>
      </c>
      <c r="U7" s="2" t="s">
        <v>236</v>
      </c>
      <c r="V7" s="2" t="s">
        <v>237</v>
      </c>
      <c r="W7" s="2" t="s">
        <v>238</v>
      </c>
    </row>
    <row r="8" spans="2:23">
      <c r="O8" s="58">
        <v>39356</v>
      </c>
      <c r="P8" s="59">
        <v>5900.6499020000001</v>
      </c>
      <c r="U8" s="58">
        <v>39356</v>
      </c>
      <c r="V8" s="61">
        <v>1549.4</v>
      </c>
    </row>
    <row r="9" spans="2:23">
      <c r="O9" s="58">
        <v>39387</v>
      </c>
      <c r="P9" s="59">
        <v>5762.75</v>
      </c>
      <c r="Q9" s="60">
        <f>(P9/P8)-1</f>
        <v>-2.3370290440932528E-2</v>
      </c>
      <c r="U9" s="58">
        <v>39387</v>
      </c>
      <c r="V9" s="61">
        <v>1481.1</v>
      </c>
      <c r="W9" s="60">
        <f t="shared" ref="W9:W72" si="0">(V9/V8)-1</f>
        <v>-4.4081579966438689E-2</v>
      </c>
    </row>
    <row r="10" spans="2:23">
      <c r="O10" s="58">
        <v>39417</v>
      </c>
      <c r="P10" s="59">
        <v>6138.6000979999999</v>
      </c>
      <c r="Q10" s="60">
        <f t="shared" ref="Q10:Q73" si="1">(P10/P9)-1</f>
        <v>6.5220614810637345E-2</v>
      </c>
      <c r="U10" s="58">
        <v>39417</v>
      </c>
      <c r="V10" s="61">
        <v>1468.4</v>
      </c>
      <c r="W10" s="60">
        <f t="shared" si="0"/>
        <v>-8.5747079873066401E-3</v>
      </c>
    </row>
    <row r="11" spans="2:23">
      <c r="O11" s="58">
        <v>39448</v>
      </c>
      <c r="P11" s="59">
        <v>5137.4501950000003</v>
      </c>
      <c r="Q11" s="60">
        <f t="shared" si="1"/>
        <v>-0.16309091438065515</v>
      </c>
      <c r="U11" s="58">
        <v>39448</v>
      </c>
      <c r="V11" s="61">
        <v>1378.5</v>
      </c>
      <c r="W11" s="60">
        <f t="shared" si="0"/>
        <v>-6.1223099972759543E-2</v>
      </c>
    </row>
    <row r="12" spans="2:23">
      <c r="O12" s="58">
        <v>39479</v>
      </c>
      <c r="P12" s="59">
        <v>5223.5</v>
      </c>
      <c r="Q12" s="60">
        <f t="shared" si="1"/>
        <v>1.6749516147863908E-2</v>
      </c>
      <c r="U12" s="58">
        <v>39479</v>
      </c>
      <c r="V12" s="61">
        <v>1330.6</v>
      </c>
      <c r="W12" s="60">
        <f t="shared" si="0"/>
        <v>-3.4747914399709923E-2</v>
      </c>
    </row>
    <row r="13" spans="2:23">
      <c r="O13" s="58">
        <v>39508</v>
      </c>
      <c r="P13" s="59">
        <v>4734.5</v>
      </c>
      <c r="Q13" s="60">
        <f t="shared" si="1"/>
        <v>-9.3615391978558393E-2</v>
      </c>
      <c r="U13" s="58">
        <v>39508</v>
      </c>
      <c r="V13" s="61">
        <v>1322.7</v>
      </c>
      <c r="W13" s="60">
        <f t="shared" si="0"/>
        <v>-5.9371712009618216E-3</v>
      </c>
    </row>
    <row r="14" spans="2:23">
      <c r="O14" s="58">
        <v>39539</v>
      </c>
      <c r="P14" s="59">
        <v>5165.8999020000001</v>
      </c>
      <c r="Q14" s="60">
        <f t="shared" si="1"/>
        <v>9.1118365614109242E-2</v>
      </c>
      <c r="U14" s="58">
        <v>39539</v>
      </c>
      <c r="V14" s="61">
        <v>1385.6</v>
      </c>
      <c r="W14" s="60">
        <f t="shared" si="0"/>
        <v>4.7554245104709958E-2</v>
      </c>
    </row>
    <row r="15" spans="2:23">
      <c r="K15" s="60"/>
      <c r="O15" s="58">
        <v>39569</v>
      </c>
      <c r="P15" s="59">
        <v>4870.1000979999999</v>
      </c>
      <c r="Q15" s="60">
        <f t="shared" si="1"/>
        <v>-5.7260072709786725E-2</v>
      </c>
      <c r="U15" s="58">
        <v>39569</v>
      </c>
      <c r="V15" s="61">
        <v>1400.4</v>
      </c>
      <c r="W15" s="60">
        <f t="shared" si="0"/>
        <v>1.068129330254064E-2</v>
      </c>
    </row>
    <row r="16" spans="2:23" ht="12" customHeight="1">
      <c r="O16" s="58">
        <v>39600</v>
      </c>
      <c r="P16" s="59">
        <v>4040.5500489999999</v>
      </c>
      <c r="Q16" s="60">
        <f t="shared" si="1"/>
        <v>-0.17033531802368307</v>
      </c>
      <c r="U16" s="58">
        <v>39600</v>
      </c>
      <c r="V16" s="61">
        <v>1280</v>
      </c>
      <c r="W16" s="60">
        <f t="shared" si="0"/>
        <v>-8.5975435589831561E-2</v>
      </c>
    </row>
    <row r="17" spans="2:23" ht="11.4" customHeight="1">
      <c r="G17" s="57" t="s">
        <v>296</v>
      </c>
      <c r="O17" s="58">
        <v>39630</v>
      </c>
      <c r="P17" s="59">
        <v>4332.9501950000003</v>
      </c>
      <c r="Q17" s="60">
        <f t="shared" si="1"/>
        <v>7.2366421020416904E-2</v>
      </c>
      <c r="U17" s="58">
        <v>39630</v>
      </c>
      <c r="V17" s="61">
        <v>1267.4000000000001</v>
      </c>
      <c r="W17" s="60">
        <f t="shared" si="0"/>
        <v>-9.8437499999999289E-3</v>
      </c>
    </row>
    <row r="18" spans="2:23">
      <c r="O18" s="58">
        <v>39661</v>
      </c>
      <c r="P18" s="59">
        <v>4360</v>
      </c>
      <c r="Q18" s="60">
        <f t="shared" si="1"/>
        <v>6.2428146603701329E-3</v>
      </c>
      <c r="U18" s="58">
        <v>39661</v>
      </c>
      <c r="V18" s="61">
        <v>1282.8</v>
      </c>
      <c r="W18" s="60">
        <f t="shared" si="0"/>
        <v>1.2150860028404598E-2</v>
      </c>
    </row>
    <row r="19" spans="2:23">
      <c r="B19" s="65" t="s">
        <v>297</v>
      </c>
      <c r="C19" s="65"/>
      <c r="D19" s="66">
        <f>STDEV(Q9:Q211)</f>
        <v>5.9734034517389102E-2</v>
      </c>
      <c r="O19" s="58">
        <v>39692</v>
      </c>
      <c r="P19" s="59">
        <v>3921.1999510000001</v>
      </c>
      <c r="Q19" s="60">
        <f t="shared" si="1"/>
        <v>-0.10064221307339449</v>
      </c>
      <c r="U19" s="58">
        <v>39692</v>
      </c>
      <c r="V19" s="61">
        <v>1166.4000000000001</v>
      </c>
      <c r="W19" s="60">
        <f t="shared" si="0"/>
        <v>-9.0739008419083111E-2</v>
      </c>
    </row>
    <row r="20" spans="2:23">
      <c r="B20" s="65" t="s">
        <v>300</v>
      </c>
      <c r="C20" s="65"/>
      <c r="D20" s="66">
        <f>STDEV(W9:W211)</f>
        <v>4.6213111648924332E-2</v>
      </c>
      <c r="G20" s="62"/>
      <c r="H20" s="62"/>
      <c r="I20" s="62"/>
      <c r="J20" s="64">
        <v>2024</v>
      </c>
      <c r="K20" s="64">
        <v>2023</v>
      </c>
      <c r="O20" s="58">
        <v>39722</v>
      </c>
      <c r="P20" s="59">
        <v>2885.6000979999999</v>
      </c>
      <c r="Q20" s="60">
        <f t="shared" si="1"/>
        <v>-0.26410279147736326</v>
      </c>
      <c r="U20" s="58">
        <v>39722</v>
      </c>
      <c r="V20">
        <v>968.8</v>
      </c>
      <c r="W20" s="60">
        <f t="shared" si="0"/>
        <v>-0.16941015089163247</v>
      </c>
    </row>
    <row r="21" spans="2:23">
      <c r="B21" s="142" t="s">
        <v>302</v>
      </c>
      <c r="C21" s="142"/>
      <c r="D21" s="143">
        <f>AVERAGE(Q9:Q211)*12+1.39%</f>
        <v>0.12060568866876384</v>
      </c>
      <c r="G21" s="62" t="s">
        <v>301</v>
      </c>
      <c r="H21" s="62"/>
      <c r="I21" s="62"/>
      <c r="J21" s="63">
        <f>(59629/(2267+59629))</f>
        <v>0.96337404678816074</v>
      </c>
      <c r="K21" s="63">
        <f>58172/(58172+2408)</f>
        <v>0.96025090789039291</v>
      </c>
      <c r="O21" s="58">
        <v>39753</v>
      </c>
      <c r="P21" s="59">
        <v>2755.1000979999999</v>
      </c>
      <c r="Q21" s="60">
        <f t="shared" si="1"/>
        <v>-4.5224561813138719E-2</v>
      </c>
      <c r="U21" s="58">
        <v>39753</v>
      </c>
      <c r="V21">
        <v>896.2</v>
      </c>
      <c r="W21" s="60">
        <f t="shared" si="0"/>
        <v>-7.4938067712634115E-2</v>
      </c>
    </row>
    <row r="22" spans="2:23">
      <c r="B22" s="142"/>
      <c r="C22" s="142"/>
      <c r="D22" s="144"/>
      <c r="O22" s="58">
        <v>39783</v>
      </c>
      <c r="P22" s="59">
        <v>2959.1499020000001</v>
      </c>
      <c r="Q22" s="60">
        <f t="shared" si="1"/>
        <v>7.4062573678584487E-2</v>
      </c>
      <c r="U22" s="58">
        <v>39783</v>
      </c>
      <c r="V22">
        <v>903.2</v>
      </c>
      <c r="W22" s="60">
        <f t="shared" si="0"/>
        <v>7.8107565275609137E-3</v>
      </c>
    </row>
    <row r="23" spans="2:23">
      <c r="O23" s="58">
        <v>39814</v>
      </c>
      <c r="P23" s="59">
        <v>2874.8000489999999</v>
      </c>
      <c r="Q23" s="60">
        <f t="shared" si="1"/>
        <v>-2.8504758391249663E-2</v>
      </c>
      <c r="U23" s="58">
        <v>39814</v>
      </c>
      <c r="V23">
        <v>825.9</v>
      </c>
      <c r="W23" s="60">
        <f t="shared" si="0"/>
        <v>-8.558458813108949E-2</v>
      </c>
    </row>
    <row r="24" spans="2:23">
      <c r="O24" s="58">
        <v>39845</v>
      </c>
      <c r="P24" s="59">
        <v>2763.6499020000001</v>
      </c>
      <c r="Q24" s="60">
        <f t="shared" si="1"/>
        <v>-3.8663609679102207E-2</v>
      </c>
      <c r="U24" s="58">
        <v>39845</v>
      </c>
      <c r="V24">
        <v>735.1</v>
      </c>
      <c r="W24" s="60">
        <f t="shared" si="0"/>
        <v>-0.10994067078338776</v>
      </c>
    </row>
    <row r="25" spans="2:23" ht="16.5">
      <c r="B25" s="1" t="s">
        <v>305</v>
      </c>
      <c r="O25" s="58">
        <v>39873</v>
      </c>
      <c r="P25" s="59">
        <v>3020.9499510000001</v>
      </c>
      <c r="Q25" s="60">
        <f t="shared" si="1"/>
        <v>9.3101535333327545E-2</v>
      </c>
      <c r="U25" s="58">
        <v>39873</v>
      </c>
      <c r="V25">
        <v>797.9</v>
      </c>
      <c r="W25" s="60">
        <f t="shared" si="0"/>
        <v>8.5430553666167697E-2</v>
      </c>
    </row>
    <row r="26" spans="2:23">
      <c r="B26" s="65" t="s">
        <v>303</v>
      </c>
      <c r="C26" s="65"/>
      <c r="D26" s="65"/>
      <c r="E26" s="68">
        <v>4.5999999999999999E-2</v>
      </c>
      <c r="O26" s="58">
        <v>39904</v>
      </c>
      <c r="P26" s="59">
        <v>3473.9499510000001</v>
      </c>
      <c r="Q26" s="60">
        <f t="shared" si="1"/>
        <v>0.14995283184021213</v>
      </c>
      <c r="U26" s="58">
        <v>39904</v>
      </c>
      <c r="V26">
        <v>872.8</v>
      </c>
      <c r="W26" s="60">
        <f t="shared" si="0"/>
        <v>9.3871412457701364E-2</v>
      </c>
    </row>
    <row r="27" spans="2:23">
      <c r="B27" s="65" t="s">
        <v>12</v>
      </c>
      <c r="C27" s="65"/>
      <c r="D27" s="65"/>
      <c r="E27" s="68">
        <v>4.2099999999999999E-2</v>
      </c>
      <c r="O27" s="58">
        <v>39934</v>
      </c>
      <c r="P27" s="59">
        <v>4448.9501950000003</v>
      </c>
      <c r="Q27" s="60">
        <f t="shared" si="1"/>
        <v>0.28066041760887761</v>
      </c>
      <c r="U27" s="58">
        <v>39934</v>
      </c>
      <c r="V27">
        <v>919.1</v>
      </c>
      <c r="W27" s="60">
        <f t="shared" si="0"/>
        <v>5.3047662694775566E-2</v>
      </c>
    </row>
    <row r="28" spans="2:23" ht="16.5">
      <c r="B28" s="69" t="s">
        <v>304</v>
      </c>
      <c r="C28" s="69"/>
      <c r="D28" s="69"/>
      <c r="E28" s="70">
        <f>SUM(E26:E27)</f>
        <v>8.8099999999999998E-2</v>
      </c>
      <c r="O28" s="58">
        <v>39965</v>
      </c>
      <c r="P28" s="59">
        <v>4291.1000979999999</v>
      </c>
      <c r="Q28" s="60">
        <f t="shared" si="1"/>
        <v>-3.5480302112035789E-2</v>
      </c>
      <c r="U28" s="58">
        <v>39965</v>
      </c>
      <c r="V28">
        <v>919.3</v>
      </c>
      <c r="W28" s="60">
        <f t="shared" si="0"/>
        <v>2.1760417800020804E-4</v>
      </c>
    </row>
    <row r="29" spans="2:23" ht="16.5">
      <c r="B29" s="69" t="s">
        <v>304</v>
      </c>
      <c r="C29" s="69"/>
      <c r="D29" s="69"/>
      <c r="E29" s="70">
        <f>E26*(D19/D20)</f>
        <v>5.9458571166433383E-2</v>
      </c>
      <c r="O29" s="58">
        <v>39995</v>
      </c>
      <c r="P29" s="59">
        <v>4636.4501950000003</v>
      </c>
      <c r="Q29" s="60">
        <f>(P29/P28)-1</f>
        <v>8.0480550234883097E-2</v>
      </c>
      <c r="U29" s="58">
        <v>39995</v>
      </c>
      <c r="V29">
        <v>987.5</v>
      </c>
      <c r="W29" s="60">
        <f>(V29/V28)-1</f>
        <v>7.4186881322745535E-2</v>
      </c>
    </row>
    <row r="30" spans="2:23">
      <c r="O30" s="58">
        <v>40026</v>
      </c>
      <c r="P30" s="59">
        <v>4662.1000979999999</v>
      </c>
      <c r="Q30" s="60">
        <f t="shared" si="1"/>
        <v>5.5322287356092126E-3</v>
      </c>
      <c r="U30" s="58">
        <v>40026</v>
      </c>
      <c r="V30" s="61">
        <v>1020.6</v>
      </c>
      <c r="W30" s="60">
        <f t="shared" si="0"/>
        <v>3.3518987341772277E-2</v>
      </c>
    </row>
    <row r="31" spans="2:23">
      <c r="O31" s="58">
        <v>40057</v>
      </c>
      <c r="P31" s="59">
        <v>5083.9501950000003</v>
      </c>
      <c r="Q31" s="60">
        <f t="shared" si="1"/>
        <v>9.0484993486298348E-2</v>
      </c>
      <c r="U31" s="58">
        <v>40057</v>
      </c>
      <c r="V31" s="61">
        <v>1057.0999999999999</v>
      </c>
      <c r="W31" s="60">
        <f t="shared" si="0"/>
        <v>3.5763276504017227E-2</v>
      </c>
    </row>
    <row r="32" spans="2:23">
      <c r="O32" s="58">
        <v>40087</v>
      </c>
      <c r="P32" s="59">
        <v>4711.7001950000003</v>
      </c>
      <c r="Q32" s="60">
        <f t="shared" si="1"/>
        <v>-7.322062288613751E-2</v>
      </c>
      <c r="U32" s="58">
        <v>40087</v>
      </c>
      <c r="V32" s="61">
        <v>1036.2</v>
      </c>
      <c r="W32" s="60">
        <f t="shared" si="0"/>
        <v>-1.9771071800207984E-2</v>
      </c>
    </row>
    <row r="33" spans="15:23">
      <c r="O33" s="58">
        <v>40118</v>
      </c>
      <c r="P33" s="59">
        <v>5032.7001950000003</v>
      </c>
      <c r="Q33" s="60">
        <f t="shared" si="1"/>
        <v>6.812827359869833E-2</v>
      </c>
      <c r="U33" s="58">
        <v>40118</v>
      </c>
      <c r="V33" s="61">
        <v>1095.5999999999999</v>
      </c>
      <c r="W33" s="60">
        <f t="shared" si="0"/>
        <v>5.7324840764330975E-2</v>
      </c>
    </row>
    <row r="34" spans="15:23">
      <c r="O34" s="58">
        <v>40148</v>
      </c>
      <c r="P34" s="59">
        <v>5201.0498049999997</v>
      </c>
      <c r="Q34" s="60">
        <f t="shared" si="1"/>
        <v>3.3451150173271715E-2</v>
      </c>
      <c r="U34" s="58">
        <v>40148</v>
      </c>
      <c r="V34" s="61">
        <v>1115.0999999999999</v>
      </c>
      <c r="W34" s="60">
        <f t="shared" si="0"/>
        <v>1.7798466593647255E-2</v>
      </c>
    </row>
    <row r="35" spans="15:23">
      <c r="O35" s="58">
        <v>40179</v>
      </c>
      <c r="P35" s="59">
        <v>4882.0498049999997</v>
      </c>
      <c r="Q35" s="60">
        <f t="shared" si="1"/>
        <v>-6.1333771442321328E-2</v>
      </c>
      <c r="U35" s="58">
        <v>40179</v>
      </c>
      <c r="V35" s="61">
        <v>1073.9000000000001</v>
      </c>
      <c r="W35" s="60">
        <f t="shared" si="0"/>
        <v>-3.6947358981257117E-2</v>
      </c>
    </row>
    <row r="36" spans="15:23">
      <c r="O36" s="58">
        <v>40210</v>
      </c>
      <c r="P36" s="59">
        <v>4922.2998049999997</v>
      </c>
      <c r="Q36" s="60">
        <f t="shared" si="1"/>
        <v>8.2444877884648715E-3</v>
      </c>
      <c r="U36" s="58">
        <v>40210</v>
      </c>
      <c r="V36" s="61">
        <v>1104.5</v>
      </c>
      <c r="W36" s="60">
        <f t="shared" si="0"/>
        <v>2.8494273209795917E-2</v>
      </c>
    </row>
    <row r="37" spans="15:23">
      <c r="O37" s="58">
        <v>40238</v>
      </c>
      <c r="P37" s="59">
        <v>5249.1000979999999</v>
      </c>
      <c r="Q37" s="60">
        <f t="shared" si="1"/>
        <v>6.6391789599658635E-2</v>
      </c>
      <c r="U37" s="58">
        <v>40238</v>
      </c>
      <c r="V37" s="61">
        <v>1169.4000000000001</v>
      </c>
      <c r="W37" s="60">
        <f t="shared" si="0"/>
        <v>5.8759619737437818E-2</v>
      </c>
    </row>
    <row r="38" spans="15:23">
      <c r="O38" s="58">
        <v>40269</v>
      </c>
      <c r="P38" s="59">
        <v>5278</v>
      </c>
      <c r="Q38" s="60">
        <f t="shared" si="1"/>
        <v>5.5056869673739683E-3</v>
      </c>
      <c r="U38" s="58">
        <v>40269</v>
      </c>
      <c r="V38" s="61">
        <v>1186.7</v>
      </c>
      <c r="W38" s="60">
        <f t="shared" si="0"/>
        <v>1.4793911407559479E-2</v>
      </c>
    </row>
    <row r="39" spans="15:23">
      <c r="O39" s="58">
        <v>40299</v>
      </c>
      <c r="P39" s="59">
        <v>5086.2998049999997</v>
      </c>
      <c r="Q39" s="60">
        <f t="shared" si="1"/>
        <v>-3.6320612921561302E-2</v>
      </c>
      <c r="U39" s="58">
        <v>40299</v>
      </c>
      <c r="V39" s="61">
        <v>1089.4000000000001</v>
      </c>
      <c r="W39" s="60">
        <f t="shared" si="0"/>
        <v>-8.1992078874188912E-2</v>
      </c>
    </row>
    <row r="40" spans="15:23">
      <c r="O40" s="58">
        <v>40330</v>
      </c>
      <c r="P40" s="59">
        <v>5312.5</v>
      </c>
      <c r="Q40" s="60">
        <f t="shared" si="1"/>
        <v>4.4472446311095926E-2</v>
      </c>
      <c r="U40" s="58">
        <v>40330</v>
      </c>
      <c r="V40" s="61">
        <v>1030.7</v>
      </c>
      <c r="W40" s="60">
        <f t="shared" si="0"/>
        <v>-5.3882871305305668E-2</v>
      </c>
    </row>
    <row r="41" spans="15:23">
      <c r="O41" s="58">
        <v>40360</v>
      </c>
      <c r="P41" s="59">
        <v>5367.6000979999999</v>
      </c>
      <c r="Q41" s="60">
        <f t="shared" si="1"/>
        <v>1.0371783152941072E-2</v>
      </c>
      <c r="U41" s="58">
        <v>40360</v>
      </c>
      <c r="V41" s="61">
        <v>1101.5999999999999</v>
      </c>
      <c r="W41" s="60">
        <f t="shared" si="0"/>
        <v>6.8788202192684444E-2</v>
      </c>
    </row>
    <row r="42" spans="15:23">
      <c r="O42" s="58">
        <v>40391</v>
      </c>
      <c r="P42" s="59">
        <v>5402.3999020000001</v>
      </c>
      <c r="Q42" s="60">
        <f t="shared" si="1"/>
        <v>6.4833078777546405E-3</v>
      </c>
      <c r="U42" s="58">
        <v>40391</v>
      </c>
      <c r="V42" s="61">
        <v>1049.3</v>
      </c>
      <c r="W42" s="60">
        <f t="shared" si="0"/>
        <v>-4.7476397966593975E-2</v>
      </c>
    </row>
    <row r="43" spans="15:23">
      <c r="O43" s="58">
        <v>40422</v>
      </c>
      <c r="P43" s="59">
        <v>6029.9501950000003</v>
      </c>
      <c r="Q43" s="60">
        <f t="shared" si="1"/>
        <v>0.1161613920449831</v>
      </c>
      <c r="U43" s="58">
        <v>40422</v>
      </c>
      <c r="V43" s="61">
        <v>1141.2</v>
      </c>
      <c r="W43" s="60">
        <f t="shared" si="0"/>
        <v>8.7582197655579952E-2</v>
      </c>
    </row>
    <row r="44" spans="15:23">
      <c r="O44" s="58">
        <v>40452</v>
      </c>
      <c r="P44" s="59">
        <v>6017.7001950000003</v>
      </c>
      <c r="Q44" s="60">
        <f t="shared" si="1"/>
        <v>-2.0315259005220243E-3</v>
      </c>
      <c r="U44" s="58">
        <v>40452</v>
      </c>
      <c r="V44" s="61">
        <v>1183.3</v>
      </c>
      <c r="W44" s="60">
        <f t="shared" si="0"/>
        <v>3.6890991938310469E-2</v>
      </c>
    </row>
    <row r="45" spans="15:23">
      <c r="O45" s="58">
        <v>40483</v>
      </c>
      <c r="P45" s="59">
        <v>5862.7001950000003</v>
      </c>
      <c r="Q45" s="60">
        <f t="shared" si="1"/>
        <v>-2.5757348318679374E-2</v>
      </c>
      <c r="U45" s="58">
        <v>40483</v>
      </c>
      <c r="V45" s="61">
        <v>1180.5</v>
      </c>
      <c r="W45" s="60">
        <f t="shared" si="0"/>
        <v>-2.3662638384179813E-3</v>
      </c>
    </row>
    <row r="46" spans="15:23">
      <c r="O46" s="58">
        <v>40513</v>
      </c>
      <c r="P46" s="59">
        <v>6134.5</v>
      </c>
      <c r="Q46" s="60">
        <f t="shared" si="1"/>
        <v>4.6360856936161321E-2</v>
      </c>
      <c r="U46" s="58">
        <v>40513</v>
      </c>
      <c r="V46" s="61">
        <v>1257.5999999999999</v>
      </c>
      <c r="W46" s="60">
        <f t="shared" si="0"/>
        <v>6.5311308767471266E-2</v>
      </c>
    </row>
    <row r="47" spans="15:23">
      <c r="O47" s="58">
        <v>40544</v>
      </c>
      <c r="P47" s="59">
        <v>5505.8999020000001</v>
      </c>
      <c r="Q47" s="60">
        <f t="shared" si="1"/>
        <v>-0.10246965490260007</v>
      </c>
      <c r="U47" s="58">
        <v>40544</v>
      </c>
      <c r="V47" s="61">
        <v>1286.0999999999999</v>
      </c>
      <c r="W47" s="60">
        <f t="shared" si="0"/>
        <v>2.2662213740457959E-2</v>
      </c>
    </row>
    <row r="48" spans="15:23">
      <c r="O48" s="58">
        <v>40575</v>
      </c>
      <c r="P48" s="59">
        <v>5333.25</v>
      </c>
      <c r="Q48" s="60">
        <f t="shared" si="1"/>
        <v>-3.1357254049839467E-2</v>
      </c>
      <c r="U48" s="58">
        <v>40575</v>
      </c>
      <c r="V48" s="61">
        <v>1327.2</v>
      </c>
      <c r="W48" s="60">
        <f t="shared" si="0"/>
        <v>3.1957079542803912E-2</v>
      </c>
    </row>
    <row r="49" spans="15:23">
      <c r="O49" s="58">
        <v>40603</v>
      </c>
      <c r="P49" s="59">
        <v>5833.75</v>
      </c>
      <c r="Q49" s="60">
        <f t="shared" si="1"/>
        <v>9.384521633150511E-2</v>
      </c>
      <c r="U49" s="58">
        <v>40603</v>
      </c>
      <c r="V49" s="61">
        <v>1325.8</v>
      </c>
      <c r="W49" s="60">
        <f t="shared" si="0"/>
        <v>-1.0548523206751481E-3</v>
      </c>
    </row>
    <row r="50" spans="15:23">
      <c r="O50" s="58">
        <v>40634</v>
      </c>
      <c r="P50" s="59">
        <v>5749.5</v>
      </c>
      <c r="Q50" s="60">
        <f t="shared" si="1"/>
        <v>-1.4441825583886847E-2</v>
      </c>
      <c r="U50" s="58">
        <v>40634</v>
      </c>
      <c r="V50" s="61">
        <v>1363.6</v>
      </c>
      <c r="W50" s="60">
        <f t="shared" si="0"/>
        <v>2.8511087645195277E-2</v>
      </c>
    </row>
    <row r="51" spans="15:23">
      <c r="O51" s="58">
        <v>40664</v>
      </c>
      <c r="P51" s="59">
        <v>5473.1000979999999</v>
      </c>
      <c r="Q51" s="60">
        <f t="shared" si="1"/>
        <v>-4.8073728498130297E-2</v>
      </c>
      <c r="U51" s="58">
        <v>40664</v>
      </c>
      <c r="V51" s="61">
        <v>1345.2</v>
      </c>
      <c r="W51" s="60">
        <f t="shared" si="0"/>
        <v>-1.3493693165150922E-2</v>
      </c>
    </row>
    <row r="52" spans="15:23">
      <c r="O52" s="58">
        <v>40695</v>
      </c>
      <c r="P52" s="59">
        <v>5647.3999020000001</v>
      </c>
      <c r="Q52" s="60">
        <f t="shared" si="1"/>
        <v>3.1846631868416519E-2</v>
      </c>
      <c r="U52" s="58">
        <v>40695</v>
      </c>
      <c r="V52" s="61">
        <v>1320.6</v>
      </c>
      <c r="W52" s="60">
        <f t="shared" si="0"/>
        <v>-1.8287243532560282E-2</v>
      </c>
    </row>
    <row r="53" spans="15:23">
      <c r="O53" s="58">
        <v>40725</v>
      </c>
      <c r="P53" s="59">
        <v>5482</v>
      </c>
      <c r="Q53" s="60">
        <f t="shared" si="1"/>
        <v>-2.9287797016362305E-2</v>
      </c>
      <c r="U53" s="58">
        <v>40725</v>
      </c>
      <c r="V53" s="61">
        <v>1292.3</v>
      </c>
      <c r="W53" s="60">
        <f t="shared" si="0"/>
        <v>-2.1429653187944875E-2</v>
      </c>
    </row>
    <row r="54" spans="15:23">
      <c r="O54" s="58">
        <v>40756</v>
      </c>
      <c r="P54" s="59">
        <v>5001</v>
      </c>
      <c r="Q54" s="60">
        <f t="shared" si="1"/>
        <v>-8.774170010944915E-2</v>
      </c>
      <c r="U54" s="58">
        <v>40756</v>
      </c>
      <c r="V54" s="61">
        <v>1218.9000000000001</v>
      </c>
      <c r="W54" s="60">
        <f t="shared" si="0"/>
        <v>-5.679795713069713E-2</v>
      </c>
    </row>
    <row r="55" spans="15:23">
      <c r="O55" s="58">
        <v>40787</v>
      </c>
      <c r="P55" s="59">
        <v>4943.25</v>
      </c>
      <c r="Q55" s="60">
        <f t="shared" si="1"/>
        <v>-1.1547690461907623E-2</v>
      </c>
      <c r="U55" s="58">
        <v>40787</v>
      </c>
      <c r="V55" s="61">
        <v>1131.4000000000001</v>
      </c>
      <c r="W55" s="60">
        <f t="shared" si="0"/>
        <v>-7.1786036590368307E-2</v>
      </c>
    </row>
    <row r="56" spans="15:23">
      <c r="O56" s="58">
        <v>40817</v>
      </c>
      <c r="P56" s="59">
        <v>5326.6000979999999</v>
      </c>
      <c r="Q56" s="60">
        <f t="shared" si="1"/>
        <v>7.7550214534972017E-2</v>
      </c>
      <c r="U56" s="58">
        <v>40817</v>
      </c>
      <c r="V56" s="61">
        <v>1253.3</v>
      </c>
      <c r="W56" s="60">
        <f t="shared" si="0"/>
        <v>0.10774261976312527</v>
      </c>
    </row>
    <row r="57" spans="15:23">
      <c r="O57" s="58">
        <v>40848</v>
      </c>
      <c r="P57" s="59">
        <v>4832.0498049999997</v>
      </c>
      <c r="Q57" s="60">
        <f t="shared" si="1"/>
        <v>-9.2845395543339371E-2</v>
      </c>
      <c r="U57" s="58">
        <v>40848</v>
      </c>
      <c r="V57" s="61">
        <v>1247</v>
      </c>
      <c r="W57" s="60">
        <f t="shared" si="0"/>
        <v>-5.0267294342933866E-3</v>
      </c>
    </row>
    <row r="58" spans="15:23">
      <c r="O58" s="58">
        <v>40878</v>
      </c>
      <c r="P58" s="59">
        <v>4624.2998049999997</v>
      </c>
      <c r="Q58" s="60">
        <f t="shared" si="1"/>
        <v>-4.2994176050302535E-2</v>
      </c>
      <c r="U58" s="58">
        <v>40878</v>
      </c>
      <c r="V58" s="61">
        <v>1257.5999999999999</v>
      </c>
      <c r="W58" s="60">
        <f t="shared" si="0"/>
        <v>8.5004009623095289E-3</v>
      </c>
    </row>
    <row r="59" spans="15:23">
      <c r="O59" s="58">
        <v>40909</v>
      </c>
      <c r="P59" s="59">
        <v>5199.25</v>
      </c>
      <c r="Q59" s="60">
        <f t="shared" si="1"/>
        <v>0.1243323787913444</v>
      </c>
      <c r="U59" s="58">
        <v>40909</v>
      </c>
      <c r="V59" s="61">
        <v>1312.4</v>
      </c>
      <c r="W59" s="60">
        <f t="shared" si="0"/>
        <v>4.3575063613231713E-2</v>
      </c>
    </row>
    <row r="60" spans="15:23">
      <c r="O60" s="58">
        <v>40940</v>
      </c>
      <c r="P60" s="59">
        <v>5385.2001950000003</v>
      </c>
      <c r="Q60" s="60">
        <f t="shared" si="1"/>
        <v>3.57648112708564E-2</v>
      </c>
      <c r="U60" s="58">
        <v>40940</v>
      </c>
      <c r="V60" s="61">
        <v>1365.7</v>
      </c>
      <c r="W60" s="60">
        <f t="shared" si="0"/>
        <v>4.0612618104236553E-2</v>
      </c>
    </row>
    <row r="61" spans="15:23">
      <c r="O61" s="58">
        <v>40969</v>
      </c>
      <c r="P61" s="59">
        <v>5295.5498049999997</v>
      </c>
      <c r="Q61" s="60">
        <f t="shared" si="1"/>
        <v>-1.6647550091682506E-2</v>
      </c>
      <c r="U61" s="58">
        <v>40969</v>
      </c>
      <c r="V61" s="61">
        <v>1408.5</v>
      </c>
      <c r="W61" s="60">
        <f t="shared" si="0"/>
        <v>3.1339239950208597E-2</v>
      </c>
    </row>
    <row r="62" spans="15:23">
      <c r="O62" s="58">
        <v>41000</v>
      </c>
      <c r="P62" s="59">
        <v>5248.1499020000001</v>
      </c>
      <c r="Q62" s="60">
        <f t="shared" si="1"/>
        <v>-8.950893626804346E-3</v>
      </c>
      <c r="U62" s="58">
        <v>41000</v>
      </c>
      <c r="V62" s="61">
        <v>1397.9</v>
      </c>
      <c r="W62" s="60">
        <f t="shared" si="0"/>
        <v>-7.5257365992189573E-3</v>
      </c>
    </row>
    <row r="63" spans="15:23">
      <c r="O63" s="58">
        <v>41030</v>
      </c>
      <c r="P63" s="59">
        <v>4924.25</v>
      </c>
      <c r="Q63" s="60">
        <f t="shared" si="1"/>
        <v>-6.1716968464747168E-2</v>
      </c>
      <c r="U63" s="58">
        <v>41030</v>
      </c>
      <c r="V63" s="61">
        <v>1310.3</v>
      </c>
      <c r="W63" s="60">
        <f t="shared" si="0"/>
        <v>-6.2665426711495886E-2</v>
      </c>
    </row>
    <row r="64" spans="15:23">
      <c r="O64" s="58">
        <v>41061</v>
      </c>
      <c r="P64" s="59">
        <v>5278.8999020000001</v>
      </c>
      <c r="Q64" s="60">
        <f t="shared" si="1"/>
        <v>7.2021100065999821E-2</v>
      </c>
      <c r="U64" s="58">
        <v>41061</v>
      </c>
      <c r="V64" s="61">
        <v>1362.2</v>
      </c>
      <c r="W64" s="60">
        <f t="shared" si="0"/>
        <v>3.9609249790124368E-2</v>
      </c>
    </row>
    <row r="65" spans="15:23">
      <c r="O65" s="58">
        <v>41091</v>
      </c>
      <c r="P65" s="59">
        <v>5229</v>
      </c>
      <c r="Q65" s="60">
        <f t="shared" si="1"/>
        <v>-9.4527085048713433E-3</v>
      </c>
      <c r="U65" s="58">
        <v>41091</v>
      </c>
      <c r="V65" s="61">
        <v>1379.3</v>
      </c>
      <c r="W65" s="60">
        <f t="shared" si="0"/>
        <v>1.2553222727940128E-2</v>
      </c>
    </row>
    <row r="66" spans="15:23">
      <c r="O66" s="58">
        <v>41122</v>
      </c>
      <c r="P66" s="59">
        <v>5258.5</v>
      </c>
      <c r="Q66" s="60">
        <f t="shared" si="1"/>
        <v>5.6416140753490218E-3</v>
      </c>
      <c r="U66" s="58">
        <v>41122</v>
      </c>
      <c r="V66" s="61">
        <v>1406.6</v>
      </c>
      <c r="W66" s="60">
        <f t="shared" si="0"/>
        <v>1.9792648444863392E-2</v>
      </c>
    </row>
    <row r="67" spans="15:23">
      <c r="O67" s="58">
        <v>41153</v>
      </c>
      <c r="P67" s="59">
        <v>5703.2998049999997</v>
      </c>
      <c r="Q67" s="60">
        <f t="shared" si="1"/>
        <v>8.4586822287724628E-2</v>
      </c>
      <c r="U67" s="58">
        <v>41153</v>
      </c>
      <c r="V67" s="61">
        <v>1440.7</v>
      </c>
      <c r="W67" s="60">
        <f t="shared" si="0"/>
        <v>2.4242855111616723E-2</v>
      </c>
    </row>
    <row r="68" spans="15:23">
      <c r="O68" s="58">
        <v>41183</v>
      </c>
      <c r="P68" s="59">
        <v>5619.7001950000003</v>
      </c>
      <c r="Q68" s="60">
        <f t="shared" si="1"/>
        <v>-1.4658112471434337E-2</v>
      </c>
      <c r="U68" s="58">
        <v>41183</v>
      </c>
      <c r="V68" s="61">
        <v>1412.2</v>
      </c>
      <c r="W68" s="60">
        <f t="shared" si="0"/>
        <v>-1.9782050392170514E-2</v>
      </c>
    </row>
    <row r="69" spans="15:23">
      <c r="O69" s="58">
        <v>41214</v>
      </c>
      <c r="P69" s="59">
        <v>5879.8500979999999</v>
      </c>
      <c r="Q69" s="60">
        <f t="shared" si="1"/>
        <v>4.6292487850412734E-2</v>
      </c>
      <c r="U69" s="58">
        <v>41214</v>
      </c>
      <c r="V69" s="61">
        <v>1416.2</v>
      </c>
      <c r="W69" s="60">
        <f t="shared" si="0"/>
        <v>2.8324599915026116E-3</v>
      </c>
    </row>
    <row r="70" spans="15:23">
      <c r="O70" s="58">
        <v>41244</v>
      </c>
      <c r="P70" s="59">
        <v>5905.1000979999999</v>
      </c>
      <c r="Q70" s="60">
        <f t="shared" si="1"/>
        <v>4.2943271646651571E-3</v>
      </c>
      <c r="U70" s="58">
        <v>41244</v>
      </c>
      <c r="V70" s="61">
        <v>1426.2</v>
      </c>
      <c r="W70" s="60">
        <f t="shared" si="0"/>
        <v>7.0611495551475834E-3</v>
      </c>
    </row>
    <row r="71" spans="15:23">
      <c r="O71" s="58">
        <v>41275</v>
      </c>
      <c r="P71" s="59">
        <v>6034.75</v>
      </c>
      <c r="Q71" s="60">
        <f t="shared" si="1"/>
        <v>2.1955580743485026E-2</v>
      </c>
      <c r="U71" s="58">
        <v>41275</v>
      </c>
      <c r="V71" s="61">
        <v>1498.1</v>
      </c>
      <c r="W71" s="60">
        <f t="shared" si="0"/>
        <v>5.0413686719954942E-2</v>
      </c>
    </row>
    <row r="72" spans="15:23">
      <c r="O72" s="58">
        <v>41306</v>
      </c>
      <c r="P72" s="59">
        <v>5693.0498049999997</v>
      </c>
      <c r="Q72" s="60">
        <f t="shared" si="1"/>
        <v>-5.6622096192882942E-2</v>
      </c>
      <c r="U72" s="58">
        <v>41306</v>
      </c>
      <c r="V72" s="61">
        <v>1514.7</v>
      </c>
      <c r="W72" s="60">
        <f t="shared" si="0"/>
        <v>1.1080702222815653E-2</v>
      </c>
    </row>
    <row r="73" spans="15:23">
      <c r="O73" s="58">
        <v>41334</v>
      </c>
      <c r="P73" s="59">
        <v>5682.5498049999997</v>
      </c>
      <c r="Q73" s="60">
        <f t="shared" si="1"/>
        <v>-1.8443541440262834E-3</v>
      </c>
      <c r="U73" s="58">
        <v>41334</v>
      </c>
      <c r="V73" s="61">
        <v>1569.2</v>
      </c>
      <c r="W73" s="60">
        <f t="shared" ref="W73:W136" si="2">(V73/V72)-1</f>
        <v>3.5980722255231967E-2</v>
      </c>
    </row>
    <row r="74" spans="15:23">
      <c r="O74" s="58">
        <v>41365</v>
      </c>
      <c r="P74" s="59">
        <v>5930.2001950000003</v>
      </c>
      <c r="Q74" s="60">
        <f t="shared" ref="Q74:Q137" si="3">(P74/P73)-1</f>
        <v>4.358085692132363E-2</v>
      </c>
      <c r="U74" s="58">
        <v>41365</v>
      </c>
      <c r="V74" s="61">
        <v>1597.6</v>
      </c>
      <c r="W74" s="60">
        <f t="shared" si="2"/>
        <v>1.8098394086158542E-2</v>
      </c>
    </row>
    <row r="75" spans="15:23">
      <c r="O75" s="58">
        <v>41395</v>
      </c>
      <c r="P75" s="59">
        <v>5985.9501950000003</v>
      </c>
      <c r="Q75" s="60">
        <f t="shared" si="3"/>
        <v>9.4010316965362772E-3</v>
      </c>
      <c r="U75" s="58">
        <v>41395</v>
      </c>
      <c r="V75" s="61">
        <v>1630.7</v>
      </c>
      <c r="W75" s="60">
        <f t="shared" si="2"/>
        <v>2.0718577866800203E-2</v>
      </c>
    </row>
    <row r="76" spans="15:23">
      <c r="O76" s="58">
        <v>41426</v>
      </c>
      <c r="P76" s="59">
        <v>5842.2001950000003</v>
      </c>
      <c r="Q76" s="60">
        <f t="shared" si="3"/>
        <v>-2.40145666631294E-2</v>
      </c>
      <c r="U76" s="58">
        <v>41426</v>
      </c>
      <c r="V76" s="61">
        <v>1606.3</v>
      </c>
      <c r="W76" s="60">
        <f t="shared" si="2"/>
        <v>-1.4962899368369476E-2</v>
      </c>
    </row>
    <row r="77" spans="15:23">
      <c r="O77" s="58">
        <v>41456</v>
      </c>
      <c r="P77" s="59">
        <v>5742</v>
      </c>
      <c r="Q77" s="60">
        <f t="shared" si="3"/>
        <v>-1.7151106031209951E-2</v>
      </c>
      <c r="U77" s="58">
        <v>41456</v>
      </c>
      <c r="V77" s="61">
        <v>1685.7</v>
      </c>
      <c r="W77" s="60">
        <f t="shared" si="2"/>
        <v>4.9430367926290186E-2</v>
      </c>
    </row>
    <row r="78" spans="15:23">
      <c r="O78" s="58">
        <v>41487</v>
      </c>
      <c r="P78" s="59">
        <v>5471.7998049999997</v>
      </c>
      <c r="Q78" s="60">
        <f t="shared" si="3"/>
        <v>-4.7056808603274214E-2</v>
      </c>
      <c r="U78" s="58">
        <v>41487</v>
      </c>
      <c r="V78" s="61">
        <v>1633</v>
      </c>
      <c r="W78" s="60">
        <f t="shared" si="2"/>
        <v>-3.126297680488821E-2</v>
      </c>
    </row>
    <row r="79" spans="15:23">
      <c r="O79" s="58">
        <v>41518</v>
      </c>
      <c r="P79" s="59">
        <v>5735.2998049999997</v>
      </c>
      <c r="Q79" s="60">
        <f t="shared" si="3"/>
        <v>4.815600156994404E-2</v>
      </c>
      <c r="U79" s="58">
        <v>41518</v>
      </c>
      <c r="V79" s="61">
        <v>1681.5</v>
      </c>
      <c r="W79" s="60">
        <f t="shared" si="2"/>
        <v>2.9699938763012801E-2</v>
      </c>
    </row>
    <row r="80" spans="15:23">
      <c r="O80" s="58">
        <v>41548</v>
      </c>
      <c r="P80" s="59">
        <v>6299.1499020000001</v>
      </c>
      <c r="Q80" s="60">
        <f t="shared" si="3"/>
        <v>9.8312227114690565E-2</v>
      </c>
      <c r="U80" s="58">
        <v>41548</v>
      </c>
      <c r="V80" s="61">
        <v>1756.5</v>
      </c>
      <c r="W80" s="60">
        <f t="shared" si="2"/>
        <v>4.4603033006244353E-2</v>
      </c>
    </row>
    <row r="81" spans="15:23">
      <c r="O81" s="58">
        <v>41579</v>
      </c>
      <c r="P81" s="59">
        <v>6176.1000979999999</v>
      </c>
      <c r="Q81" s="60">
        <f t="shared" si="3"/>
        <v>-1.9534350811516887E-2</v>
      </c>
      <c r="U81" s="58">
        <v>41579</v>
      </c>
      <c r="V81" s="61">
        <v>1805.8</v>
      </c>
      <c r="W81" s="60">
        <f t="shared" si="2"/>
        <v>2.8067179049245716E-2</v>
      </c>
    </row>
    <row r="82" spans="15:23">
      <c r="O82" s="58">
        <v>41609</v>
      </c>
      <c r="P82" s="59">
        <v>6304</v>
      </c>
      <c r="Q82" s="60">
        <f t="shared" si="3"/>
        <v>2.0708845383095031E-2</v>
      </c>
      <c r="U82" s="58">
        <v>41609</v>
      </c>
      <c r="V82" s="61">
        <v>1848.4</v>
      </c>
      <c r="W82" s="60">
        <f t="shared" si="2"/>
        <v>2.3590652342452278E-2</v>
      </c>
    </row>
    <row r="83" spans="15:23">
      <c r="O83" s="58">
        <v>41640</v>
      </c>
      <c r="P83" s="59">
        <v>6089.5</v>
      </c>
      <c r="Q83" s="60">
        <f t="shared" si="3"/>
        <v>-3.4026015228426409E-2</v>
      </c>
      <c r="U83" s="58">
        <v>41640</v>
      </c>
      <c r="V83" s="61">
        <v>1782.6</v>
      </c>
      <c r="W83" s="60">
        <f t="shared" si="2"/>
        <v>-3.5598355334343301E-2</v>
      </c>
    </row>
    <row r="84" spans="15:23">
      <c r="O84" s="58">
        <v>41671</v>
      </c>
      <c r="P84" s="59">
        <v>6276.9501950000003</v>
      </c>
      <c r="Q84" s="60">
        <f t="shared" si="3"/>
        <v>3.0782526480006567E-2</v>
      </c>
      <c r="U84" s="58">
        <v>41671</v>
      </c>
      <c r="V84" s="61">
        <v>1859.45</v>
      </c>
      <c r="W84" s="60">
        <f t="shared" si="2"/>
        <v>4.3111185908224048E-2</v>
      </c>
    </row>
    <row r="85" spans="15:23">
      <c r="O85" s="58">
        <v>41699</v>
      </c>
      <c r="P85" s="59">
        <v>6704.2001950000003</v>
      </c>
      <c r="Q85" s="60">
        <f t="shared" si="3"/>
        <v>6.806649514924179E-2</v>
      </c>
      <c r="U85" s="58">
        <v>41699</v>
      </c>
      <c r="V85" s="61">
        <v>1872.34</v>
      </c>
      <c r="W85" s="60">
        <f t="shared" si="2"/>
        <v>6.9321573583585039E-3</v>
      </c>
    </row>
    <row r="86" spans="15:23">
      <c r="O86" s="58">
        <v>41730</v>
      </c>
      <c r="P86" s="59">
        <v>6696.3999020000001</v>
      </c>
      <c r="Q86" s="60">
        <f t="shared" si="3"/>
        <v>-1.1634934478563785E-3</v>
      </c>
      <c r="U86" s="58">
        <v>41730</v>
      </c>
      <c r="V86" s="61">
        <v>1883.95</v>
      </c>
      <c r="W86" s="60">
        <f t="shared" si="2"/>
        <v>6.2007968638175814E-3</v>
      </c>
    </row>
    <row r="87" spans="15:23">
      <c r="O87" s="58">
        <v>41760</v>
      </c>
      <c r="P87" s="59">
        <v>7229.9501950000003</v>
      </c>
      <c r="Q87" s="60">
        <f t="shared" si="3"/>
        <v>7.967718487670461E-2</v>
      </c>
      <c r="U87" s="58">
        <v>41760</v>
      </c>
      <c r="V87" s="61">
        <v>1923.57</v>
      </c>
      <c r="W87" s="60">
        <f t="shared" si="2"/>
        <v>2.1030282120013677E-2</v>
      </c>
    </row>
    <row r="88" spans="15:23">
      <c r="O88" s="58">
        <v>41791</v>
      </c>
      <c r="P88" s="59">
        <v>7611.3500979999999</v>
      </c>
      <c r="Q88" s="60">
        <f t="shared" si="3"/>
        <v>5.2752770449755459E-2</v>
      </c>
      <c r="U88" s="58">
        <v>41791</v>
      </c>
      <c r="V88" s="61">
        <v>1960.23</v>
      </c>
      <c r="W88" s="60">
        <f t="shared" si="2"/>
        <v>1.9058313448431896E-2</v>
      </c>
    </row>
    <row r="89" spans="15:23">
      <c r="O89" s="58">
        <v>41821</v>
      </c>
      <c r="P89" s="59">
        <v>7721.2998049999997</v>
      </c>
      <c r="Q89" s="60">
        <f t="shared" si="3"/>
        <v>1.4445493320415004E-2</v>
      </c>
      <c r="U89" s="58">
        <v>41821</v>
      </c>
      <c r="V89" s="61">
        <v>1930.67</v>
      </c>
      <c r="W89" s="60">
        <f t="shared" si="2"/>
        <v>-1.5079863077291922E-2</v>
      </c>
    </row>
    <row r="90" spans="15:23">
      <c r="O90" s="58">
        <v>41852</v>
      </c>
      <c r="P90" s="59">
        <v>7954.3500979999999</v>
      </c>
      <c r="Q90" s="60">
        <f t="shared" si="3"/>
        <v>3.0182779957473871E-2</v>
      </c>
      <c r="U90" s="58">
        <v>41852</v>
      </c>
      <c r="V90" s="61">
        <v>2003.37</v>
      </c>
      <c r="W90" s="60">
        <f t="shared" si="2"/>
        <v>3.7655321727690261E-2</v>
      </c>
    </row>
    <row r="91" spans="15:23">
      <c r="O91" s="58">
        <v>41883</v>
      </c>
      <c r="P91" s="59">
        <v>7964.7998049999997</v>
      </c>
      <c r="Q91" s="60">
        <f t="shared" si="3"/>
        <v>1.3137097149680255E-3</v>
      </c>
      <c r="U91" s="58">
        <v>41883</v>
      </c>
      <c r="V91" s="61">
        <v>1972.29</v>
      </c>
      <c r="W91" s="60">
        <f t="shared" si="2"/>
        <v>-1.5513859147336717E-2</v>
      </c>
    </row>
    <row r="92" spans="15:23">
      <c r="O92" s="58">
        <v>41913</v>
      </c>
      <c r="P92" s="59">
        <v>8322.2001949999994</v>
      </c>
      <c r="Q92" s="60">
        <f t="shared" si="3"/>
        <v>4.4872488794462484E-2</v>
      </c>
      <c r="U92" s="58">
        <v>41913</v>
      </c>
      <c r="V92" s="61">
        <v>2018.05</v>
      </c>
      <c r="W92" s="60">
        <f t="shared" si="2"/>
        <v>2.3201456175308888E-2</v>
      </c>
    </row>
    <row r="93" spans="15:23">
      <c r="O93" s="58">
        <v>41944</v>
      </c>
      <c r="P93" s="59">
        <v>8588.25</v>
      </c>
      <c r="Q93" s="60">
        <f t="shared" si="3"/>
        <v>3.1968686016450754E-2</v>
      </c>
      <c r="U93" s="58">
        <v>41944</v>
      </c>
      <c r="V93" s="61">
        <v>2067.56</v>
      </c>
      <c r="W93" s="60">
        <f t="shared" si="2"/>
        <v>2.4533584400783015E-2</v>
      </c>
    </row>
    <row r="94" spans="15:23">
      <c r="O94" s="58">
        <v>41974</v>
      </c>
      <c r="P94" s="59">
        <v>8282.7001949999994</v>
      </c>
      <c r="Q94" s="60">
        <f t="shared" si="3"/>
        <v>-3.5577656099904043E-2</v>
      </c>
      <c r="U94" s="58">
        <v>41974</v>
      </c>
      <c r="V94" s="61">
        <v>2058.9</v>
      </c>
      <c r="W94" s="60">
        <f t="shared" si="2"/>
        <v>-4.1885120625277938E-3</v>
      </c>
    </row>
    <row r="95" spans="15:23">
      <c r="O95" s="58">
        <v>42005</v>
      </c>
      <c r="P95" s="59">
        <v>8808.9003909999992</v>
      </c>
      <c r="Q95" s="60">
        <f t="shared" si="3"/>
        <v>6.3530030498707424E-2</v>
      </c>
      <c r="U95" s="58">
        <v>42005</v>
      </c>
      <c r="V95" s="61">
        <v>1994.99</v>
      </c>
      <c r="W95" s="60">
        <f t="shared" si="2"/>
        <v>-3.1040847054252363E-2</v>
      </c>
    </row>
    <row r="96" spans="15:23">
      <c r="O96" s="58">
        <v>42036</v>
      </c>
      <c r="P96" s="59">
        <v>8844.5996090000008</v>
      </c>
      <c r="Q96" s="60">
        <f t="shared" si="3"/>
        <v>4.0526304550423387E-3</v>
      </c>
      <c r="U96" s="58">
        <v>42036</v>
      </c>
      <c r="V96" s="61">
        <v>2104.5</v>
      </c>
      <c r="W96" s="60">
        <f t="shared" si="2"/>
        <v>5.4892505726845675E-2</v>
      </c>
    </row>
    <row r="97" spans="15:23">
      <c r="O97" s="58">
        <v>42064</v>
      </c>
      <c r="P97" s="59">
        <v>8491</v>
      </c>
      <c r="Q97" s="60">
        <f t="shared" si="3"/>
        <v>-3.9979153905416842E-2</v>
      </c>
      <c r="U97" s="58">
        <v>42064</v>
      </c>
      <c r="V97" s="61">
        <v>2067.89</v>
      </c>
      <c r="W97" s="60">
        <f t="shared" si="2"/>
        <v>-1.7396056070325572E-2</v>
      </c>
    </row>
    <row r="98" spans="15:23">
      <c r="O98" s="58">
        <v>42095</v>
      </c>
      <c r="P98" s="59">
        <v>8181.5</v>
      </c>
      <c r="Q98" s="60">
        <f t="shared" si="3"/>
        <v>-3.6450359203862859E-2</v>
      </c>
      <c r="U98" s="58">
        <v>42095</v>
      </c>
      <c r="V98" s="61">
        <v>2085.5100000000002</v>
      </c>
      <c r="W98" s="60">
        <f t="shared" si="2"/>
        <v>8.5207627098153882E-3</v>
      </c>
    </row>
    <row r="99" spans="15:23">
      <c r="O99" s="58">
        <v>42125</v>
      </c>
      <c r="P99" s="59">
        <v>8433.6503909999992</v>
      </c>
      <c r="Q99" s="60">
        <f t="shared" si="3"/>
        <v>3.0819579661431229E-2</v>
      </c>
      <c r="U99" s="58">
        <v>42125</v>
      </c>
      <c r="V99" s="61">
        <v>2107.39</v>
      </c>
      <c r="W99" s="60">
        <f t="shared" si="2"/>
        <v>1.0491438545008114E-2</v>
      </c>
    </row>
    <row r="100" spans="15:23">
      <c r="O100" s="58">
        <v>42156</v>
      </c>
      <c r="P100" s="59">
        <v>8368.5</v>
      </c>
      <c r="Q100" s="60">
        <f t="shared" si="3"/>
        <v>-7.7250523770258095E-3</v>
      </c>
      <c r="U100" s="58">
        <v>42156</v>
      </c>
      <c r="V100" s="61">
        <v>2063.11</v>
      </c>
      <c r="W100" s="60">
        <f t="shared" si="2"/>
        <v>-2.10117728564716E-2</v>
      </c>
    </row>
    <row r="101" spans="15:23">
      <c r="O101" s="58">
        <v>42186</v>
      </c>
      <c r="P101" s="59">
        <v>8532.8496090000008</v>
      </c>
      <c r="Q101" s="60">
        <f t="shared" si="3"/>
        <v>1.9639076178526782E-2</v>
      </c>
      <c r="U101" s="58">
        <v>42186</v>
      </c>
      <c r="V101" s="61">
        <v>2103.84</v>
      </c>
      <c r="W101" s="60">
        <f t="shared" si="2"/>
        <v>1.9742039930008559E-2</v>
      </c>
    </row>
    <row r="102" spans="15:23">
      <c r="O102" s="58">
        <v>42217</v>
      </c>
      <c r="P102" s="59">
        <v>7971.2998049999997</v>
      </c>
      <c r="Q102" s="60">
        <f t="shared" si="3"/>
        <v>-6.5810348210954994E-2</v>
      </c>
      <c r="U102" s="58">
        <v>42217</v>
      </c>
      <c r="V102" s="61">
        <v>1972.18</v>
      </c>
      <c r="W102" s="60">
        <f t="shared" si="2"/>
        <v>-6.258080462392579E-2</v>
      </c>
    </row>
    <row r="103" spans="15:23">
      <c r="O103" s="58">
        <v>42248</v>
      </c>
      <c r="P103" s="59">
        <v>7948.8999020000001</v>
      </c>
      <c r="Q103" s="60">
        <f t="shared" si="3"/>
        <v>-2.8100690662705707E-3</v>
      </c>
      <c r="U103" s="58">
        <v>42248</v>
      </c>
      <c r="V103" s="61">
        <v>1920.03</v>
      </c>
      <c r="W103" s="60">
        <f t="shared" si="2"/>
        <v>-2.6442819620927094E-2</v>
      </c>
    </row>
    <row r="104" spans="15:23">
      <c r="O104" s="58">
        <v>42278</v>
      </c>
      <c r="P104" s="59">
        <v>8065.7998049999997</v>
      </c>
      <c r="Q104" s="60">
        <f t="shared" si="3"/>
        <v>1.4706425347057905E-2</v>
      </c>
      <c r="U104" s="58">
        <v>42278</v>
      </c>
      <c r="V104" s="61">
        <v>2079.36</v>
      </c>
      <c r="W104" s="60">
        <f t="shared" si="2"/>
        <v>8.2983078389400333E-2</v>
      </c>
    </row>
    <row r="105" spans="15:23">
      <c r="O105" s="58">
        <v>42309</v>
      </c>
      <c r="P105" s="59">
        <v>7935.25</v>
      </c>
      <c r="Q105" s="60">
        <f t="shared" si="3"/>
        <v>-1.6185599463933054E-2</v>
      </c>
      <c r="U105" s="58">
        <v>42309</v>
      </c>
      <c r="V105" s="61">
        <v>2080.41</v>
      </c>
      <c r="W105" s="60">
        <f t="shared" si="2"/>
        <v>5.0496306555847248E-4</v>
      </c>
    </row>
    <row r="106" spans="15:23">
      <c r="O106" s="58">
        <v>42339</v>
      </c>
      <c r="P106" s="59">
        <v>7946.3500979999999</v>
      </c>
      <c r="Q106" s="60">
        <f t="shared" si="3"/>
        <v>1.3988340631989615E-3</v>
      </c>
      <c r="U106" s="58">
        <v>42339</v>
      </c>
      <c r="V106" s="61">
        <v>2043.94</v>
      </c>
      <c r="W106" s="60">
        <f t="shared" si="2"/>
        <v>-1.7530198374358763E-2</v>
      </c>
    </row>
    <row r="107" spans="15:23">
      <c r="O107" s="58">
        <v>42370</v>
      </c>
      <c r="P107" s="59">
        <v>7563.5498049999997</v>
      </c>
      <c r="Q107" s="60">
        <f t="shared" si="3"/>
        <v>-4.8173096865735454E-2</v>
      </c>
      <c r="U107" s="58">
        <v>42370</v>
      </c>
      <c r="V107" s="61">
        <v>1940.24</v>
      </c>
      <c r="W107" s="60">
        <f t="shared" si="2"/>
        <v>-5.0735344481736222E-2</v>
      </c>
    </row>
    <row r="108" spans="15:23">
      <c r="O108" s="58">
        <v>42401</v>
      </c>
      <c r="P108" s="59">
        <v>6987.0498049999997</v>
      </c>
      <c r="Q108" s="60">
        <f t="shared" si="3"/>
        <v>-7.6220824198036774E-2</v>
      </c>
      <c r="U108" s="58">
        <v>42401</v>
      </c>
      <c r="V108" s="61">
        <v>1932.23</v>
      </c>
      <c r="W108" s="60">
        <f t="shared" si="2"/>
        <v>-4.1283552550199776E-3</v>
      </c>
    </row>
    <row r="109" spans="15:23">
      <c r="O109" s="58">
        <v>42430</v>
      </c>
      <c r="P109" s="59">
        <v>7738.3999020000001</v>
      </c>
      <c r="Q109" s="60">
        <f t="shared" si="3"/>
        <v>0.10753467027848118</v>
      </c>
      <c r="U109" s="58">
        <v>42430</v>
      </c>
      <c r="V109" s="61">
        <v>2059.7399999999998</v>
      </c>
      <c r="W109" s="60">
        <f t="shared" si="2"/>
        <v>6.5991108718941094E-2</v>
      </c>
    </row>
    <row r="110" spans="15:23">
      <c r="O110" s="58">
        <v>42461</v>
      </c>
      <c r="P110" s="59">
        <v>7849.7998049999997</v>
      </c>
      <c r="Q110" s="60">
        <f t="shared" si="3"/>
        <v>1.4395728369014371E-2</v>
      </c>
      <c r="U110" s="58">
        <v>42461</v>
      </c>
      <c r="V110" s="61">
        <v>2065.3000000000002</v>
      </c>
      <c r="W110" s="60">
        <f t="shared" si="2"/>
        <v>2.69936982337593E-3</v>
      </c>
    </row>
    <row r="111" spans="15:23">
      <c r="O111" s="58">
        <v>42491</v>
      </c>
      <c r="P111" s="59">
        <v>8160.1000979999999</v>
      </c>
      <c r="Q111" s="60">
        <f t="shared" si="3"/>
        <v>3.9529707853485752E-2</v>
      </c>
      <c r="U111" s="58">
        <v>42491</v>
      </c>
      <c r="V111" s="61">
        <v>2096.96</v>
      </c>
      <c r="W111" s="60">
        <f t="shared" si="2"/>
        <v>1.5329492083474561E-2</v>
      </c>
    </row>
    <row r="112" spans="15:23">
      <c r="O112" s="58">
        <v>42522</v>
      </c>
      <c r="P112" s="59">
        <v>8287.75</v>
      </c>
      <c r="Q112" s="60">
        <f t="shared" si="3"/>
        <v>1.5643178449647577E-2</v>
      </c>
      <c r="U112" s="58">
        <v>42522</v>
      </c>
      <c r="V112" s="61">
        <v>2098.86</v>
      </c>
      <c r="W112" s="60">
        <f t="shared" si="2"/>
        <v>9.0607355409733081E-4</v>
      </c>
    </row>
    <row r="113" spans="15:23">
      <c r="O113" s="58">
        <v>42552</v>
      </c>
      <c r="P113" s="59">
        <v>8638.5</v>
      </c>
      <c r="Q113" s="60">
        <f t="shared" si="3"/>
        <v>4.2321498597327478E-2</v>
      </c>
      <c r="U113" s="58">
        <v>42552</v>
      </c>
      <c r="V113" s="61">
        <v>2173.6</v>
      </c>
      <c r="W113" s="60">
        <f t="shared" si="2"/>
        <v>3.5609807228685897E-2</v>
      </c>
    </row>
    <row r="114" spans="15:23">
      <c r="O114" s="58">
        <v>42583</v>
      </c>
      <c r="P114" s="59">
        <v>8786.2001949999994</v>
      </c>
      <c r="Q114" s="60">
        <f t="shared" si="3"/>
        <v>1.7097898361984054E-2</v>
      </c>
      <c r="U114" s="58">
        <v>42583</v>
      </c>
      <c r="V114" s="61">
        <v>2170.9499999999998</v>
      </c>
      <c r="W114" s="60">
        <f t="shared" si="2"/>
        <v>-1.2191755612808164E-3</v>
      </c>
    </row>
    <row r="115" spans="15:23">
      <c r="O115" s="58">
        <v>42614</v>
      </c>
      <c r="P115" s="59">
        <v>8611.1503909999992</v>
      </c>
      <c r="Q115" s="60">
        <f t="shared" si="3"/>
        <v>-1.9923266043905596E-2</v>
      </c>
      <c r="U115" s="58">
        <v>42614</v>
      </c>
      <c r="V115" s="61">
        <v>2168.27</v>
      </c>
      <c r="W115" s="60">
        <f t="shared" si="2"/>
        <v>-1.2344825997834263E-3</v>
      </c>
    </row>
    <row r="116" spans="15:23">
      <c r="O116" s="58">
        <v>42644</v>
      </c>
      <c r="P116" s="59">
        <v>8638</v>
      </c>
      <c r="Q116" s="60">
        <f t="shared" si="3"/>
        <v>3.1180048867875954E-3</v>
      </c>
      <c r="U116" s="58">
        <v>42644</v>
      </c>
      <c r="V116" s="61">
        <v>2126.15</v>
      </c>
      <c r="W116" s="60">
        <f t="shared" si="2"/>
        <v>-1.9425625037472249E-2</v>
      </c>
    </row>
    <row r="117" spans="15:23">
      <c r="O117" s="58">
        <v>42675</v>
      </c>
      <c r="P117" s="59">
        <v>8224.5</v>
      </c>
      <c r="Q117" s="60">
        <f t="shared" si="3"/>
        <v>-4.7869877286408902E-2</v>
      </c>
      <c r="U117" s="58">
        <v>42675</v>
      </c>
      <c r="V117" s="61">
        <v>2198.81</v>
      </c>
      <c r="W117" s="60">
        <f t="shared" si="2"/>
        <v>3.4174446769983158E-2</v>
      </c>
    </row>
    <row r="118" spans="15:23">
      <c r="O118" s="58">
        <v>42705</v>
      </c>
      <c r="P118" s="59">
        <v>8185.7998049999997</v>
      </c>
      <c r="Q118" s="60">
        <f t="shared" si="3"/>
        <v>-4.7054769286887232E-3</v>
      </c>
      <c r="U118" s="58">
        <v>42705</v>
      </c>
      <c r="V118" s="61">
        <v>2238.83</v>
      </c>
      <c r="W118" s="60">
        <f t="shared" si="2"/>
        <v>1.8200754044233047E-2</v>
      </c>
    </row>
    <row r="119" spans="15:23">
      <c r="O119" s="58">
        <v>42736</v>
      </c>
      <c r="P119" s="59">
        <v>8561.2998050000006</v>
      </c>
      <c r="Q119" s="60">
        <f t="shared" si="3"/>
        <v>4.5872121105458685E-2</v>
      </c>
      <c r="U119" s="58">
        <v>42736</v>
      </c>
      <c r="V119" s="61">
        <v>2278.87</v>
      </c>
      <c r="W119" s="60">
        <f t="shared" si="2"/>
        <v>1.7884341374735824E-2</v>
      </c>
    </row>
    <row r="120" spans="15:23">
      <c r="O120" s="58">
        <v>42767</v>
      </c>
      <c r="P120" s="59">
        <v>8879.5996090000008</v>
      </c>
      <c r="Q120" s="60">
        <f t="shared" si="3"/>
        <v>3.717891105905502E-2</v>
      </c>
      <c r="U120" s="58">
        <v>42767</v>
      </c>
      <c r="V120" s="61">
        <v>2363.64</v>
      </c>
      <c r="W120" s="60">
        <f t="shared" si="2"/>
        <v>3.7198260541408734E-2</v>
      </c>
    </row>
    <row r="121" spans="15:23">
      <c r="O121" s="58">
        <v>42795</v>
      </c>
      <c r="P121" s="59">
        <v>9173.75</v>
      </c>
      <c r="Q121" s="60">
        <f t="shared" si="3"/>
        <v>3.3126537676525514E-2</v>
      </c>
      <c r="U121" s="58">
        <v>42795</v>
      </c>
      <c r="V121" s="61">
        <v>2362.7199999999998</v>
      </c>
      <c r="W121" s="60">
        <f t="shared" si="2"/>
        <v>-3.8923017041514463E-4</v>
      </c>
    </row>
    <row r="122" spans="15:23">
      <c r="O122" s="58">
        <v>42826</v>
      </c>
      <c r="P122" s="59">
        <v>9304.0498050000006</v>
      </c>
      <c r="Q122" s="60">
        <f t="shared" si="3"/>
        <v>1.4203548712358627E-2</v>
      </c>
      <c r="U122" s="58">
        <v>42826</v>
      </c>
      <c r="V122" s="61">
        <v>2384.1999999999998</v>
      </c>
      <c r="W122" s="60">
        <f t="shared" si="2"/>
        <v>9.0912169025529899E-3</v>
      </c>
    </row>
    <row r="123" spans="15:23">
      <c r="O123" s="58">
        <v>42856</v>
      </c>
      <c r="P123" s="59">
        <v>9621.25</v>
      </c>
      <c r="Q123" s="60">
        <f t="shared" si="3"/>
        <v>3.4092701742582721E-2</v>
      </c>
      <c r="U123" s="58">
        <v>42856</v>
      </c>
      <c r="V123" s="61">
        <v>2411.8000000000002</v>
      </c>
      <c r="W123" s="60">
        <f t="shared" si="2"/>
        <v>1.1576210049492719E-2</v>
      </c>
    </row>
    <row r="124" spans="15:23">
      <c r="O124" s="58">
        <v>42887</v>
      </c>
      <c r="P124" s="59">
        <v>9520.9003909999992</v>
      </c>
      <c r="Q124" s="60">
        <f t="shared" si="3"/>
        <v>-1.0429997037807004E-2</v>
      </c>
      <c r="U124" s="58">
        <v>42887</v>
      </c>
      <c r="V124" s="61">
        <v>2423.41</v>
      </c>
      <c r="W124" s="60">
        <f t="shared" si="2"/>
        <v>4.8138319927024664E-3</v>
      </c>
    </row>
    <row r="125" spans="15:23">
      <c r="O125" s="58">
        <v>42917</v>
      </c>
      <c r="P125" s="59">
        <v>10077.099609000001</v>
      </c>
      <c r="Q125" s="60">
        <f t="shared" si="3"/>
        <v>5.8418762423538162E-2</v>
      </c>
      <c r="U125" s="58">
        <v>42917</v>
      </c>
      <c r="V125" s="61">
        <v>2470.3000000000002</v>
      </c>
      <c r="W125" s="60">
        <f t="shared" si="2"/>
        <v>1.9348768883515444E-2</v>
      </c>
    </row>
    <row r="126" spans="15:23">
      <c r="O126" s="58">
        <v>42948</v>
      </c>
      <c r="P126" s="59">
        <v>9917.9003909999992</v>
      </c>
      <c r="Q126" s="60">
        <f t="shared" si="3"/>
        <v>-1.5798118920827053E-2</v>
      </c>
      <c r="U126" s="58">
        <v>42948</v>
      </c>
      <c r="V126" s="61">
        <v>2471.65</v>
      </c>
      <c r="W126" s="60">
        <f t="shared" si="2"/>
        <v>5.4649232886694321E-4</v>
      </c>
    </row>
    <row r="127" spans="15:23">
      <c r="O127" s="58">
        <v>42979</v>
      </c>
      <c r="P127" s="59">
        <v>9788.5996090000008</v>
      </c>
      <c r="Q127" s="60">
        <f t="shared" si="3"/>
        <v>-1.3037112382912497E-2</v>
      </c>
      <c r="U127" s="58">
        <v>42979</v>
      </c>
      <c r="V127" s="61">
        <v>2519.36</v>
      </c>
      <c r="W127" s="60">
        <f t="shared" si="2"/>
        <v>1.9302894827342154E-2</v>
      </c>
    </row>
    <row r="128" spans="15:23">
      <c r="O128" s="58">
        <v>43009</v>
      </c>
      <c r="P128" s="59">
        <v>10335.299805000001</v>
      </c>
      <c r="Q128" s="60">
        <f t="shared" si="3"/>
        <v>5.5850705702309433E-2</v>
      </c>
      <c r="U128" s="58">
        <v>43009</v>
      </c>
      <c r="V128" s="61">
        <v>2575.2600000000002</v>
      </c>
      <c r="W128" s="60">
        <f t="shared" si="2"/>
        <v>2.2188174774546043E-2</v>
      </c>
    </row>
    <row r="129" spans="15:23">
      <c r="O129" s="58">
        <v>43040</v>
      </c>
      <c r="P129" s="59">
        <v>10226.549805000001</v>
      </c>
      <c r="Q129" s="60">
        <f t="shared" si="3"/>
        <v>-1.0522191136379866E-2</v>
      </c>
      <c r="U129" s="58">
        <v>43040</v>
      </c>
      <c r="V129" s="61">
        <v>2647.58</v>
      </c>
      <c r="W129" s="60">
        <f t="shared" si="2"/>
        <v>2.8082601368405458E-2</v>
      </c>
    </row>
    <row r="130" spans="15:23">
      <c r="O130" s="58">
        <v>43070</v>
      </c>
      <c r="P130" s="59">
        <v>10530.700194999999</v>
      </c>
      <c r="Q130" s="60">
        <f t="shared" si="3"/>
        <v>2.9741251526618662E-2</v>
      </c>
      <c r="U130" s="58">
        <v>43070</v>
      </c>
      <c r="V130" s="61">
        <v>2673.61</v>
      </c>
      <c r="W130" s="60">
        <f t="shared" si="2"/>
        <v>9.8316198188534987E-3</v>
      </c>
    </row>
    <row r="131" spans="15:23">
      <c r="O131" s="58">
        <v>43101</v>
      </c>
      <c r="P131" s="59">
        <v>11027.700194999999</v>
      </c>
      <c r="Q131" s="60">
        <f t="shared" si="3"/>
        <v>4.7195342265652585E-2</v>
      </c>
      <c r="U131" s="58">
        <v>43101</v>
      </c>
      <c r="V131" s="61">
        <v>2823.81</v>
      </c>
      <c r="W131" s="60">
        <f t="shared" si="2"/>
        <v>5.6178724645703726E-2</v>
      </c>
    </row>
    <row r="132" spans="15:23">
      <c r="O132" s="58">
        <v>43132</v>
      </c>
      <c r="P132" s="59">
        <v>10492.849609000001</v>
      </c>
      <c r="Q132" s="60">
        <f t="shared" si="3"/>
        <v>-4.8500646240138279E-2</v>
      </c>
      <c r="U132" s="58">
        <v>43132</v>
      </c>
      <c r="V132" s="61">
        <v>2713.83</v>
      </c>
      <c r="W132" s="60">
        <f t="shared" si="2"/>
        <v>-3.8947379604151844E-2</v>
      </c>
    </row>
    <row r="133" spans="15:23">
      <c r="O133" s="58">
        <v>43160</v>
      </c>
      <c r="P133" s="59">
        <v>10113.700194999999</v>
      </c>
      <c r="Q133" s="60">
        <f t="shared" si="3"/>
        <v>-3.6134074929921267E-2</v>
      </c>
      <c r="U133" s="58">
        <v>43160</v>
      </c>
      <c r="V133" s="61">
        <v>2640.87</v>
      </c>
      <c r="W133" s="60">
        <f t="shared" si="2"/>
        <v>-2.6884513768364315E-2</v>
      </c>
    </row>
    <row r="134" spans="15:23">
      <c r="O134" s="58">
        <v>43191</v>
      </c>
      <c r="P134" s="59">
        <v>10739.349609000001</v>
      </c>
      <c r="Q134" s="60">
        <f t="shared" si="3"/>
        <v>6.1861574096225391E-2</v>
      </c>
      <c r="U134" s="58">
        <v>43191</v>
      </c>
      <c r="V134" s="61">
        <v>2648.05</v>
      </c>
      <c r="W134" s="60">
        <f t="shared" si="2"/>
        <v>2.718801001185378E-3</v>
      </c>
    </row>
    <row r="135" spans="15:23">
      <c r="O135" s="58">
        <v>43221</v>
      </c>
      <c r="P135" s="59">
        <v>10736.150390999999</v>
      </c>
      <c r="Q135" s="60">
        <f t="shared" si="3"/>
        <v>-2.9789681093173037E-4</v>
      </c>
      <c r="U135" s="58">
        <v>43221</v>
      </c>
      <c r="V135" s="61">
        <v>2705.27</v>
      </c>
      <c r="W135" s="60">
        <f t="shared" si="2"/>
        <v>2.1608353316591389E-2</v>
      </c>
    </row>
    <row r="136" spans="15:23">
      <c r="O136" s="58">
        <v>43252</v>
      </c>
      <c r="P136" s="59">
        <v>10714.299805000001</v>
      </c>
      <c r="Q136" s="60">
        <f t="shared" si="3"/>
        <v>-2.0352347167487128E-3</v>
      </c>
      <c r="U136" s="58">
        <v>43252</v>
      </c>
      <c r="V136" s="61">
        <v>2718.37</v>
      </c>
      <c r="W136" s="60">
        <f t="shared" si="2"/>
        <v>4.8424002040461378E-3</v>
      </c>
    </row>
    <row r="137" spans="15:23">
      <c r="O137" s="58">
        <v>43282</v>
      </c>
      <c r="P137" s="59">
        <v>11356.5</v>
      </c>
      <c r="Q137" s="60">
        <f t="shared" si="3"/>
        <v>5.9938606039407816E-2</v>
      </c>
      <c r="U137" s="58">
        <v>43282</v>
      </c>
      <c r="V137" s="61">
        <v>2816.29</v>
      </c>
      <c r="W137" s="60">
        <f t="shared" ref="W137:W200" si="4">(V137/V136)-1</f>
        <v>3.6021586465418753E-2</v>
      </c>
    </row>
    <row r="138" spans="15:23">
      <c r="O138" s="58">
        <v>43313</v>
      </c>
      <c r="P138" s="59">
        <v>11680.5</v>
      </c>
      <c r="Q138" s="60">
        <f t="shared" ref="Q138:Q201" si="5">(P138/P137)-1</f>
        <v>2.8529916787742637E-2</v>
      </c>
      <c r="U138" s="58">
        <v>43313</v>
      </c>
      <c r="V138" s="61">
        <v>2901.52</v>
      </c>
      <c r="W138" s="60">
        <f t="shared" si="4"/>
        <v>3.0263218631604083E-2</v>
      </c>
    </row>
    <row r="139" spans="15:23">
      <c r="O139" s="58">
        <v>43344</v>
      </c>
      <c r="P139" s="59">
        <v>10930.450194999999</v>
      </c>
      <c r="Q139" s="60">
        <f t="shared" si="5"/>
        <v>-6.4213844013526922E-2</v>
      </c>
      <c r="U139" s="58">
        <v>43344</v>
      </c>
      <c r="V139" s="61">
        <v>2913.98</v>
      </c>
      <c r="W139" s="60">
        <f t="shared" si="4"/>
        <v>4.2943009181395375E-3</v>
      </c>
    </row>
    <row r="140" spans="15:23">
      <c r="O140" s="58">
        <v>43374</v>
      </c>
      <c r="P140" s="59">
        <v>10386.599609000001</v>
      </c>
      <c r="Q140" s="60">
        <f t="shared" si="5"/>
        <v>-4.9755552268906267E-2</v>
      </c>
      <c r="U140" s="58">
        <v>43374</v>
      </c>
      <c r="V140" s="61">
        <v>2711.74</v>
      </c>
      <c r="W140" s="60">
        <f t="shared" si="4"/>
        <v>-6.9403358979814644E-2</v>
      </c>
    </row>
    <row r="141" spans="15:23">
      <c r="O141" s="58">
        <v>43405</v>
      </c>
      <c r="P141" s="59">
        <v>10876.75</v>
      </c>
      <c r="Q141" s="60">
        <f t="shared" si="5"/>
        <v>4.7190650400664724E-2</v>
      </c>
      <c r="U141" s="58">
        <v>43405</v>
      </c>
      <c r="V141" s="61">
        <v>2760.17</v>
      </c>
      <c r="W141" s="60">
        <f t="shared" si="4"/>
        <v>1.785938179914015E-2</v>
      </c>
    </row>
    <row r="142" spans="15:23">
      <c r="O142" s="58">
        <v>43435</v>
      </c>
      <c r="P142" s="59">
        <v>10862.549805000001</v>
      </c>
      <c r="Q142" s="60">
        <f t="shared" si="5"/>
        <v>-1.3055549681659784E-3</v>
      </c>
      <c r="U142" s="58">
        <v>43435</v>
      </c>
      <c r="V142" s="61">
        <v>2506.85</v>
      </c>
      <c r="W142" s="60">
        <f t="shared" si="4"/>
        <v>-9.1776955767217339E-2</v>
      </c>
    </row>
    <row r="143" spans="15:23">
      <c r="O143" s="58">
        <v>43466</v>
      </c>
      <c r="P143" s="59">
        <v>10830.950194999999</v>
      </c>
      <c r="Q143" s="60">
        <f t="shared" si="5"/>
        <v>-2.9090416676805786E-3</v>
      </c>
      <c r="U143" s="58">
        <v>43466</v>
      </c>
      <c r="V143" s="61">
        <v>2704.1</v>
      </c>
      <c r="W143" s="60">
        <f t="shared" si="4"/>
        <v>7.8684404731036883E-2</v>
      </c>
    </row>
    <row r="144" spans="15:23">
      <c r="O144" s="58">
        <v>43497</v>
      </c>
      <c r="P144" s="59">
        <v>10792.5</v>
      </c>
      <c r="Q144" s="60">
        <f t="shared" si="5"/>
        <v>-3.5500297118667978E-3</v>
      </c>
      <c r="U144" s="58">
        <v>43497</v>
      </c>
      <c r="V144" s="61">
        <v>2784.49</v>
      </c>
      <c r="W144" s="60">
        <f t="shared" si="4"/>
        <v>2.9728930143116061E-2</v>
      </c>
    </row>
    <row r="145" spans="15:23">
      <c r="O145" s="58">
        <v>43525</v>
      </c>
      <c r="P145" s="59">
        <v>11623.900390999999</v>
      </c>
      <c r="Q145" s="60">
        <f t="shared" si="5"/>
        <v>7.7035014222839759E-2</v>
      </c>
      <c r="U145" s="58">
        <v>43525</v>
      </c>
      <c r="V145" s="61">
        <v>2834.4</v>
      </c>
      <c r="W145" s="60">
        <f t="shared" si="4"/>
        <v>1.7924287751078349E-2</v>
      </c>
    </row>
    <row r="146" spans="15:23">
      <c r="O146" s="58">
        <v>43556</v>
      </c>
      <c r="P146" s="59">
        <v>11748.150390999999</v>
      </c>
      <c r="Q146" s="60">
        <f t="shared" si="5"/>
        <v>1.0689183133073099E-2</v>
      </c>
      <c r="U146" s="58">
        <v>43556</v>
      </c>
      <c r="V146" s="61">
        <v>2945.83</v>
      </c>
      <c r="W146" s="60">
        <f t="shared" si="4"/>
        <v>3.9313434942139347E-2</v>
      </c>
    </row>
    <row r="147" spans="15:23">
      <c r="O147" s="58">
        <v>43586</v>
      </c>
      <c r="P147" s="59">
        <v>11922.799805000001</v>
      </c>
      <c r="Q147" s="60">
        <f t="shared" si="5"/>
        <v>1.4866120043355524E-2</v>
      </c>
      <c r="U147" s="58">
        <v>43586</v>
      </c>
      <c r="V147" s="61">
        <v>2752.06</v>
      </c>
      <c r="W147" s="60">
        <f t="shared" si="4"/>
        <v>-6.5777726481161536E-2</v>
      </c>
    </row>
    <row r="148" spans="15:23">
      <c r="O148" s="58">
        <v>43617</v>
      </c>
      <c r="P148" s="59">
        <v>11788.849609000001</v>
      </c>
      <c r="Q148" s="60">
        <f t="shared" si="5"/>
        <v>-1.1234793688628897E-2</v>
      </c>
      <c r="U148" s="58">
        <v>43617</v>
      </c>
      <c r="V148" s="61">
        <v>2941.76</v>
      </c>
      <c r="W148" s="60">
        <f t="shared" si="4"/>
        <v>6.8930183208214979E-2</v>
      </c>
    </row>
    <row r="149" spans="15:23">
      <c r="O149" s="58">
        <v>43647</v>
      </c>
      <c r="P149" s="59">
        <v>11118</v>
      </c>
      <c r="Q149" s="60">
        <f t="shared" si="5"/>
        <v>-5.6905434478343953E-2</v>
      </c>
      <c r="U149" s="58">
        <v>43647</v>
      </c>
      <c r="V149" s="61">
        <v>2980.38</v>
      </c>
      <c r="W149" s="60">
        <f t="shared" si="4"/>
        <v>1.3128195366039375E-2</v>
      </c>
    </row>
    <row r="150" spans="15:23">
      <c r="O150" s="58">
        <v>43678</v>
      </c>
      <c r="P150" s="59">
        <v>11023.25</v>
      </c>
      <c r="Q150" s="60">
        <f t="shared" si="5"/>
        <v>-8.5222162259399603E-3</v>
      </c>
      <c r="U150" s="58">
        <v>43678</v>
      </c>
      <c r="V150" s="61">
        <v>2926.46</v>
      </c>
      <c r="W150" s="60">
        <f t="shared" si="4"/>
        <v>-1.8091652742267761E-2</v>
      </c>
    </row>
    <row r="151" spans="15:23">
      <c r="O151" s="58">
        <v>43709</v>
      </c>
      <c r="P151" s="59">
        <v>11474.450194999999</v>
      </c>
      <c r="Q151" s="60">
        <f t="shared" si="5"/>
        <v>4.0931684847935079E-2</v>
      </c>
      <c r="U151" s="58">
        <v>43709</v>
      </c>
      <c r="V151" s="61">
        <v>2976.74</v>
      </c>
      <c r="W151" s="60">
        <f t="shared" si="4"/>
        <v>1.7181167690656807E-2</v>
      </c>
    </row>
    <row r="152" spans="15:23">
      <c r="O152" s="58">
        <v>43739</v>
      </c>
      <c r="P152" s="59">
        <v>11877.450194999999</v>
      </c>
      <c r="Q152" s="60">
        <f t="shared" si="5"/>
        <v>3.5121508495074449E-2</v>
      </c>
      <c r="U152" s="58">
        <v>43739</v>
      </c>
      <c r="V152" s="61">
        <v>3037.56</v>
      </c>
      <c r="W152" s="60">
        <f t="shared" si="4"/>
        <v>2.0431747482144935E-2</v>
      </c>
    </row>
    <row r="153" spans="15:23">
      <c r="O153" s="58">
        <v>43770</v>
      </c>
      <c r="P153" s="59">
        <v>12056.049805000001</v>
      </c>
      <c r="Q153" s="60">
        <f t="shared" si="5"/>
        <v>1.5036864568389152E-2</v>
      </c>
      <c r="U153" s="58">
        <v>43770</v>
      </c>
      <c r="V153" s="61">
        <v>3140.98</v>
      </c>
      <c r="W153" s="60">
        <f t="shared" si="4"/>
        <v>3.404706409091518E-2</v>
      </c>
    </row>
    <row r="154" spans="15:23">
      <c r="O154" s="58">
        <v>43800</v>
      </c>
      <c r="P154" s="59">
        <v>12168.450194999999</v>
      </c>
      <c r="Q154" s="60">
        <f t="shared" si="5"/>
        <v>9.3231524270398491E-3</v>
      </c>
      <c r="U154" s="58">
        <v>43800</v>
      </c>
      <c r="V154" s="61">
        <v>3230.78</v>
      </c>
      <c r="W154" s="60">
        <f t="shared" si="4"/>
        <v>2.8589803182446305E-2</v>
      </c>
    </row>
    <row r="155" spans="15:23">
      <c r="O155" s="58">
        <v>43831</v>
      </c>
      <c r="P155" s="59">
        <v>11962.099609000001</v>
      </c>
      <c r="Q155" s="60">
        <f t="shared" si="5"/>
        <v>-1.6957836264538284E-2</v>
      </c>
      <c r="U155" s="58">
        <v>43831</v>
      </c>
      <c r="V155" s="61">
        <v>3225.52</v>
      </c>
      <c r="W155" s="60">
        <f t="shared" si="4"/>
        <v>-1.6280898111292741E-3</v>
      </c>
    </row>
    <row r="156" spans="15:23">
      <c r="O156" s="58">
        <v>43862</v>
      </c>
      <c r="P156" s="59">
        <v>11201.75</v>
      </c>
      <c r="Q156" s="60">
        <f t="shared" si="5"/>
        <v>-6.35632233348008E-2</v>
      </c>
      <c r="U156" s="58">
        <v>43862</v>
      </c>
      <c r="V156" s="61">
        <v>2954.22</v>
      </c>
      <c r="W156" s="60">
        <f t="shared" si="4"/>
        <v>-8.4110469009648137E-2</v>
      </c>
    </row>
    <row r="157" spans="15:23">
      <c r="O157" s="58">
        <v>43891</v>
      </c>
      <c r="P157" s="59">
        <v>8597.75</v>
      </c>
      <c r="Q157" s="60">
        <f t="shared" si="5"/>
        <v>-0.23246367755038277</v>
      </c>
      <c r="U157" s="58">
        <v>43891</v>
      </c>
      <c r="V157" s="61">
        <v>2584.59</v>
      </c>
      <c r="W157" s="60">
        <f t="shared" si="4"/>
        <v>-0.12511932083595656</v>
      </c>
    </row>
    <row r="158" spans="15:23">
      <c r="O158" s="58">
        <v>43922</v>
      </c>
      <c r="P158" s="59">
        <v>9859.9003909999992</v>
      </c>
      <c r="Q158" s="60">
        <f t="shared" si="5"/>
        <v>0.14680008036986414</v>
      </c>
      <c r="U158" s="58">
        <v>43922</v>
      </c>
      <c r="V158" s="61">
        <v>2912.43</v>
      </c>
      <c r="W158" s="60">
        <f t="shared" si="4"/>
        <v>0.12684410293315374</v>
      </c>
    </row>
    <row r="159" spans="15:23">
      <c r="O159" s="58">
        <v>43952</v>
      </c>
      <c r="P159" s="59">
        <v>9580.2998050000006</v>
      </c>
      <c r="Q159" s="60">
        <f t="shared" si="5"/>
        <v>-2.8357343878972152E-2</v>
      </c>
      <c r="U159" s="58">
        <v>43952</v>
      </c>
      <c r="V159" s="61">
        <v>3044.31</v>
      </c>
      <c r="W159" s="60">
        <f t="shared" si="4"/>
        <v>4.528177501261843E-2</v>
      </c>
    </row>
    <row r="160" spans="15:23">
      <c r="O160" s="58">
        <v>43983</v>
      </c>
      <c r="P160" s="59">
        <v>10302.099609000001</v>
      </c>
      <c r="Q160" s="60">
        <f t="shared" si="5"/>
        <v>7.5342089359592856E-2</v>
      </c>
      <c r="U160" s="58">
        <v>43983</v>
      </c>
      <c r="V160" s="61">
        <v>3100.29</v>
      </c>
      <c r="W160" s="60">
        <f t="shared" si="4"/>
        <v>1.8388403283502663E-2</v>
      </c>
    </row>
    <row r="161" spans="15:23">
      <c r="O161" s="58">
        <v>44013</v>
      </c>
      <c r="P161" s="59">
        <v>11073.450194999999</v>
      </c>
      <c r="Q161" s="60">
        <f t="shared" si="5"/>
        <v>7.4873143851777568E-2</v>
      </c>
      <c r="U161" s="58">
        <v>44013</v>
      </c>
      <c r="V161" s="61">
        <v>3271.12</v>
      </c>
      <c r="W161" s="60">
        <f t="shared" si="4"/>
        <v>5.5101296975444303E-2</v>
      </c>
    </row>
    <row r="162" spans="15:23">
      <c r="O162" s="58">
        <v>44044</v>
      </c>
      <c r="P162" s="59">
        <v>11387.5</v>
      </c>
      <c r="Q162" s="60">
        <f t="shared" si="5"/>
        <v>2.8360610240682149E-2</v>
      </c>
      <c r="U162" s="58">
        <v>44044</v>
      </c>
      <c r="V162" s="61">
        <v>3500.31</v>
      </c>
      <c r="W162" s="60">
        <f t="shared" si="4"/>
        <v>7.0064687324219221E-2</v>
      </c>
    </row>
    <row r="163" spans="15:23">
      <c r="O163" s="58">
        <v>44075</v>
      </c>
      <c r="P163" s="59">
        <v>11247.549805000001</v>
      </c>
      <c r="Q163" s="60">
        <f t="shared" si="5"/>
        <v>-1.2289808562019666E-2</v>
      </c>
      <c r="U163" s="58">
        <v>44075</v>
      </c>
      <c r="V163" s="61">
        <v>3363</v>
      </c>
      <c r="W163" s="60">
        <f t="shared" si="4"/>
        <v>-3.9227954095494399E-2</v>
      </c>
    </row>
    <row r="164" spans="15:23">
      <c r="O164" s="58">
        <v>44105</v>
      </c>
      <c r="P164" s="59">
        <v>11642.400390999999</v>
      </c>
      <c r="Q164" s="60">
        <f t="shared" si="5"/>
        <v>3.5105475667640107E-2</v>
      </c>
      <c r="U164" s="58">
        <v>44105</v>
      </c>
      <c r="V164" s="61">
        <v>3269.96</v>
      </c>
      <c r="W164" s="60">
        <f t="shared" si="4"/>
        <v>-2.7665774606006499E-2</v>
      </c>
    </row>
    <row r="165" spans="15:23">
      <c r="O165" s="58">
        <v>44136</v>
      </c>
      <c r="P165" s="59">
        <v>12968.950194999999</v>
      </c>
      <c r="Q165" s="60">
        <f t="shared" si="5"/>
        <v>0.1139412629225045</v>
      </c>
      <c r="U165" s="58">
        <v>44136</v>
      </c>
      <c r="V165" s="61">
        <v>3621.63</v>
      </c>
      <c r="W165" s="60">
        <f t="shared" si="4"/>
        <v>0.10754565805086314</v>
      </c>
    </row>
    <row r="166" spans="15:23">
      <c r="O166" s="58">
        <v>44166</v>
      </c>
      <c r="P166" s="59">
        <v>13981.75</v>
      </c>
      <c r="Q166" s="60">
        <f t="shared" si="5"/>
        <v>7.8094201132060226E-2</v>
      </c>
      <c r="U166" s="58">
        <v>44166</v>
      </c>
      <c r="V166" s="61">
        <v>3756.07</v>
      </c>
      <c r="W166" s="60">
        <f t="shared" si="4"/>
        <v>3.712140665943231E-2</v>
      </c>
    </row>
    <row r="167" spans="15:23">
      <c r="O167" s="58">
        <v>44197</v>
      </c>
      <c r="P167" s="59">
        <v>13634.599609000001</v>
      </c>
      <c r="Q167" s="60">
        <f t="shared" si="5"/>
        <v>-2.4828822643803483E-2</v>
      </c>
      <c r="U167" s="58">
        <v>44197</v>
      </c>
      <c r="V167" s="61">
        <v>3714.24</v>
      </c>
      <c r="W167" s="60">
        <f t="shared" si="4"/>
        <v>-1.1136640158463607E-2</v>
      </c>
    </row>
    <row r="168" spans="15:23">
      <c r="O168" s="58">
        <v>44228</v>
      </c>
      <c r="P168" s="59">
        <v>14529.150390999999</v>
      </c>
      <c r="Q168" s="60">
        <f t="shared" si="5"/>
        <v>6.5608877976109925E-2</v>
      </c>
      <c r="U168" s="58">
        <v>44228</v>
      </c>
      <c r="V168" s="61">
        <v>3811.15</v>
      </c>
      <c r="W168" s="60">
        <f t="shared" si="4"/>
        <v>2.6091474971999817E-2</v>
      </c>
    </row>
    <row r="169" spans="15:23">
      <c r="O169" s="58">
        <v>44256</v>
      </c>
      <c r="P169" s="59">
        <v>14690.700194999999</v>
      </c>
      <c r="Q169" s="60">
        <f t="shared" si="5"/>
        <v>1.1119012444118725E-2</v>
      </c>
      <c r="U169" s="58">
        <v>44256</v>
      </c>
      <c r="V169" s="61">
        <v>3972.89</v>
      </c>
      <c r="W169" s="60">
        <f t="shared" si="4"/>
        <v>4.2438634008107767E-2</v>
      </c>
    </row>
    <row r="170" spans="15:23">
      <c r="O170" s="58">
        <v>44287</v>
      </c>
      <c r="P170" s="59">
        <v>14631.099609000001</v>
      </c>
      <c r="Q170" s="60">
        <f t="shared" si="5"/>
        <v>-4.057028270189833E-3</v>
      </c>
      <c r="U170" s="58">
        <v>44287</v>
      </c>
      <c r="V170" s="61">
        <v>4181.17</v>
      </c>
      <c r="W170" s="60">
        <f t="shared" si="4"/>
        <v>5.242531255584737E-2</v>
      </c>
    </row>
    <row r="171" spans="15:23">
      <c r="O171" s="58">
        <v>44317</v>
      </c>
      <c r="P171" s="59">
        <v>15582.799805000001</v>
      </c>
      <c r="Q171" s="60">
        <f t="shared" si="5"/>
        <v>6.504638895456516E-2</v>
      </c>
      <c r="U171" s="58">
        <v>44317</v>
      </c>
      <c r="V171" s="61">
        <v>4204.1099999999997</v>
      </c>
      <c r="W171" s="60">
        <f t="shared" si="4"/>
        <v>5.4865025818131574E-3</v>
      </c>
    </row>
    <row r="172" spans="15:23">
      <c r="O172" s="58">
        <v>44348</v>
      </c>
      <c r="P172" s="59">
        <v>15721.5</v>
      </c>
      <c r="Q172" s="60">
        <f t="shared" si="5"/>
        <v>8.9008520121971468E-3</v>
      </c>
      <c r="U172" s="58">
        <v>44348</v>
      </c>
      <c r="V172" s="61">
        <v>4297.5</v>
      </c>
      <c r="W172" s="60">
        <f t="shared" si="4"/>
        <v>2.221397632316946E-2</v>
      </c>
    </row>
    <row r="173" spans="15:23">
      <c r="O173" s="58">
        <v>44378</v>
      </c>
      <c r="P173" s="59">
        <v>15763.049805000001</v>
      </c>
      <c r="Q173" s="60">
        <f t="shared" si="5"/>
        <v>2.6428651846197582E-3</v>
      </c>
      <c r="U173" s="58">
        <v>44378</v>
      </c>
      <c r="V173" s="61">
        <v>4395.26</v>
      </c>
      <c r="W173" s="60">
        <f t="shared" si="4"/>
        <v>2.274810936591054E-2</v>
      </c>
    </row>
    <row r="174" spans="15:23">
      <c r="O174" s="58">
        <v>44409</v>
      </c>
      <c r="P174" s="59">
        <v>17132.199218999998</v>
      </c>
      <c r="Q174" s="60">
        <f t="shared" si="5"/>
        <v>8.6858154414110045E-2</v>
      </c>
      <c r="U174" s="58">
        <v>44409</v>
      </c>
      <c r="V174" s="61">
        <v>4522.68</v>
      </c>
      <c r="W174" s="60">
        <f t="shared" si="4"/>
        <v>2.8990321391681118E-2</v>
      </c>
    </row>
    <row r="175" spans="15:23">
      <c r="O175" s="58">
        <v>44440</v>
      </c>
      <c r="P175" s="59">
        <v>17618.150390999999</v>
      </c>
      <c r="Q175" s="60">
        <f t="shared" si="5"/>
        <v>2.8364786434485811E-2</v>
      </c>
      <c r="U175" s="58">
        <v>44440</v>
      </c>
      <c r="V175" s="61">
        <v>4307.54</v>
      </c>
      <c r="W175" s="60">
        <f t="shared" si="4"/>
        <v>-4.7569140421166334E-2</v>
      </c>
    </row>
    <row r="176" spans="15:23">
      <c r="O176" s="58">
        <v>44470</v>
      </c>
      <c r="P176" s="59">
        <v>17671.650390999999</v>
      </c>
      <c r="Q176" s="60">
        <f t="shared" si="5"/>
        <v>3.0366411236522062E-3</v>
      </c>
      <c r="U176" s="58">
        <v>44470</v>
      </c>
      <c r="V176" s="61">
        <v>4605.38</v>
      </c>
      <c r="W176" s="60">
        <f t="shared" si="4"/>
        <v>6.9143873301234615E-2</v>
      </c>
    </row>
    <row r="177" spans="15:23">
      <c r="O177" s="58">
        <v>44501</v>
      </c>
      <c r="P177" s="59">
        <v>16983.199218999998</v>
      </c>
      <c r="Q177" s="60">
        <f t="shared" si="5"/>
        <v>-3.8957944321409976E-2</v>
      </c>
      <c r="U177" s="58">
        <v>44501</v>
      </c>
      <c r="V177" s="61">
        <v>4567</v>
      </c>
      <c r="W177" s="60">
        <f t="shared" si="4"/>
        <v>-8.3337314184714906E-3</v>
      </c>
    </row>
    <row r="178" spans="15:23">
      <c r="O178" s="58">
        <v>44531</v>
      </c>
      <c r="P178" s="59">
        <v>17354.050781000002</v>
      </c>
      <c r="Q178" s="60">
        <f t="shared" si="5"/>
        <v>2.1836378247575006E-2</v>
      </c>
      <c r="U178" s="58">
        <v>44531</v>
      </c>
      <c r="V178" s="61">
        <v>4766.18</v>
      </c>
      <c r="W178" s="60">
        <f t="shared" si="4"/>
        <v>4.3612874972629889E-2</v>
      </c>
    </row>
    <row r="179" spans="15:23">
      <c r="O179" s="58">
        <v>44562</v>
      </c>
      <c r="P179" s="59">
        <v>17339.849609000001</v>
      </c>
      <c r="Q179" s="60">
        <f t="shared" si="5"/>
        <v>-8.183202976188575E-4</v>
      </c>
      <c r="U179" s="58">
        <v>44562</v>
      </c>
      <c r="V179" s="61">
        <v>4515.55</v>
      </c>
      <c r="W179" s="60">
        <f t="shared" si="4"/>
        <v>-5.2585089106999772E-2</v>
      </c>
    </row>
    <row r="180" spans="15:23">
      <c r="O180" s="58">
        <v>44593</v>
      </c>
      <c r="P180" s="59">
        <v>16793.900390999999</v>
      </c>
      <c r="Q180" s="60">
        <f t="shared" si="5"/>
        <v>-3.1485233742548413E-2</v>
      </c>
      <c r="U180" s="58">
        <v>44593</v>
      </c>
      <c r="V180" s="61">
        <v>4373.9399999999996</v>
      </c>
      <c r="W180" s="60">
        <f t="shared" si="4"/>
        <v>-3.1360520866782648E-2</v>
      </c>
    </row>
    <row r="181" spans="15:23">
      <c r="O181" s="58">
        <v>44621</v>
      </c>
      <c r="P181" s="59">
        <v>17464.75</v>
      </c>
      <c r="Q181" s="60">
        <f t="shared" si="5"/>
        <v>3.9946027627954406E-2</v>
      </c>
      <c r="U181" s="58">
        <v>44621</v>
      </c>
      <c r="V181" s="61">
        <v>4530.41</v>
      </c>
      <c r="W181" s="60">
        <f t="shared" si="4"/>
        <v>3.5773238773280092E-2</v>
      </c>
    </row>
    <row r="182" spans="15:23">
      <c r="O182" s="58">
        <v>44652</v>
      </c>
      <c r="P182" s="59">
        <v>17102.550781000002</v>
      </c>
      <c r="Q182" s="60">
        <f t="shared" si="5"/>
        <v>-2.0738872242660134E-2</v>
      </c>
      <c r="U182" s="58">
        <v>44652</v>
      </c>
      <c r="V182" s="61">
        <v>4131.93</v>
      </c>
      <c r="W182" s="60">
        <f t="shared" si="4"/>
        <v>-8.7956719149039353E-2</v>
      </c>
    </row>
    <row r="183" spans="15:23">
      <c r="O183" s="58">
        <v>44682</v>
      </c>
      <c r="P183" s="59">
        <v>16584.550781000002</v>
      </c>
      <c r="Q183" s="60">
        <f t="shared" si="5"/>
        <v>-3.0287879663861039E-2</v>
      </c>
      <c r="U183" s="58">
        <v>44682</v>
      </c>
      <c r="V183" s="61">
        <v>4132.1499999999996</v>
      </c>
      <c r="W183" s="60">
        <f t="shared" si="4"/>
        <v>5.3243883608722342E-5</v>
      </c>
    </row>
    <row r="184" spans="15:23">
      <c r="O184" s="58">
        <v>44713</v>
      </c>
      <c r="P184" s="59">
        <v>15780.25</v>
      </c>
      <c r="Q184" s="60">
        <f t="shared" si="5"/>
        <v>-4.8496989253483114E-2</v>
      </c>
      <c r="U184" s="58">
        <v>44713</v>
      </c>
      <c r="V184" s="61">
        <v>3785.38</v>
      </c>
      <c r="W184" s="60">
        <f t="shared" si="4"/>
        <v>-8.3919993223866451E-2</v>
      </c>
    </row>
    <row r="185" spans="15:23">
      <c r="O185" s="58">
        <v>44743</v>
      </c>
      <c r="P185" s="59">
        <v>17158.25</v>
      </c>
      <c r="Q185" s="60">
        <f t="shared" si="5"/>
        <v>8.7324345305048956E-2</v>
      </c>
      <c r="U185" s="58">
        <v>44743</v>
      </c>
      <c r="V185" s="61">
        <v>4130.29</v>
      </c>
      <c r="W185" s="60">
        <f t="shared" si="4"/>
        <v>9.1116347632205885E-2</v>
      </c>
    </row>
    <row r="186" spans="15:23">
      <c r="O186" s="58">
        <v>44774</v>
      </c>
      <c r="P186" s="59">
        <v>17759.300781000002</v>
      </c>
      <c r="Q186" s="60">
        <f t="shared" si="5"/>
        <v>3.5029841679658613E-2</v>
      </c>
      <c r="U186" s="58">
        <v>44774</v>
      </c>
      <c r="V186" s="61">
        <v>3955</v>
      </c>
      <c r="W186" s="60">
        <f t="shared" si="4"/>
        <v>-4.2440119216810457E-2</v>
      </c>
    </row>
    <row r="187" spans="15:23">
      <c r="O187" s="58">
        <v>44805</v>
      </c>
      <c r="P187" s="59">
        <v>17094.349609000001</v>
      </c>
      <c r="Q187" s="60">
        <f t="shared" si="5"/>
        <v>-3.7442418493829788E-2</v>
      </c>
      <c r="U187" s="58">
        <v>44805</v>
      </c>
      <c r="V187" s="61">
        <v>3585.62</v>
      </c>
      <c r="W187" s="60">
        <f t="shared" si="4"/>
        <v>-9.3395701643489315E-2</v>
      </c>
    </row>
    <row r="188" spans="15:23">
      <c r="O188" s="58">
        <v>44835</v>
      </c>
      <c r="P188" s="59">
        <v>18012.199218999998</v>
      </c>
      <c r="Q188" s="60">
        <f t="shared" si="5"/>
        <v>5.3693157738903263E-2</v>
      </c>
      <c r="U188" s="58">
        <v>44835</v>
      </c>
      <c r="V188" s="61">
        <v>3871.98</v>
      </c>
      <c r="W188" s="60">
        <f t="shared" si="4"/>
        <v>7.9863454576893256E-2</v>
      </c>
    </row>
    <row r="189" spans="15:23">
      <c r="O189" s="58">
        <v>44866</v>
      </c>
      <c r="P189" s="59">
        <v>18758.349609000001</v>
      </c>
      <c r="Q189" s="60">
        <f t="shared" si="5"/>
        <v>4.1424724484111497E-2</v>
      </c>
      <c r="U189" s="58">
        <v>44866</v>
      </c>
      <c r="V189" s="61">
        <v>4080.11</v>
      </c>
      <c r="W189" s="60">
        <f t="shared" si="4"/>
        <v>5.3752860293699856E-2</v>
      </c>
    </row>
    <row r="190" spans="15:23">
      <c r="O190" s="58">
        <v>44896</v>
      </c>
      <c r="P190" s="59">
        <v>18105.300781000002</v>
      </c>
      <c r="Q190" s="60">
        <f t="shared" si="5"/>
        <v>-3.4813767821379904E-2</v>
      </c>
      <c r="U190" s="58">
        <v>44896</v>
      </c>
      <c r="V190" s="61">
        <v>3839.5</v>
      </c>
      <c r="W190" s="60">
        <f t="shared" si="4"/>
        <v>-5.8971449299161094E-2</v>
      </c>
    </row>
    <row r="191" spans="15:23">
      <c r="O191" s="58">
        <v>44927</v>
      </c>
      <c r="P191" s="59">
        <v>17662.150390999999</v>
      </c>
      <c r="Q191" s="60">
        <f t="shared" si="5"/>
        <v>-2.4476278818027275E-2</v>
      </c>
      <c r="U191" s="58">
        <v>44927</v>
      </c>
      <c r="V191" s="61">
        <v>4076.6</v>
      </c>
      <c r="W191" s="60">
        <f t="shared" si="4"/>
        <v>6.1752832400052027E-2</v>
      </c>
    </row>
    <row r="192" spans="15:23">
      <c r="O192" s="58">
        <v>44958</v>
      </c>
      <c r="P192" s="59">
        <v>17303.949218999998</v>
      </c>
      <c r="Q192" s="60">
        <f t="shared" si="5"/>
        <v>-2.0280722566065723E-2</v>
      </c>
      <c r="U192" s="58">
        <v>44958</v>
      </c>
      <c r="V192" s="61">
        <v>3970.15</v>
      </c>
      <c r="W192" s="60">
        <f t="shared" si="4"/>
        <v>-2.6112446646715304E-2</v>
      </c>
    </row>
    <row r="193" spans="15:23">
      <c r="O193" s="58">
        <v>44986</v>
      </c>
      <c r="P193" s="59">
        <v>17359.75</v>
      </c>
      <c r="Q193" s="60">
        <f t="shared" si="5"/>
        <v>3.2247425309555044E-3</v>
      </c>
      <c r="U193" s="58">
        <v>44986</v>
      </c>
      <c r="V193" s="61">
        <v>4109.3100000000004</v>
      </c>
      <c r="W193" s="60">
        <f t="shared" si="4"/>
        <v>3.5051572358727023E-2</v>
      </c>
    </row>
    <row r="194" spans="15:23">
      <c r="O194" s="58">
        <v>45017</v>
      </c>
      <c r="P194" s="59">
        <v>18065</v>
      </c>
      <c r="Q194" s="60">
        <f t="shared" si="5"/>
        <v>4.0625585045867663E-2</v>
      </c>
      <c r="U194" s="58">
        <v>45017</v>
      </c>
      <c r="V194" s="61">
        <v>4169.4799999999996</v>
      </c>
      <c r="W194" s="60">
        <f t="shared" si="4"/>
        <v>1.464236088297044E-2</v>
      </c>
    </row>
    <row r="195" spans="15:23">
      <c r="O195" s="58">
        <v>45047</v>
      </c>
      <c r="P195" s="59">
        <v>18534.400390999999</v>
      </c>
      <c r="Q195" s="60">
        <f t="shared" si="5"/>
        <v>2.5983968502629295E-2</v>
      </c>
      <c r="U195" s="58">
        <v>45047</v>
      </c>
      <c r="V195" s="61">
        <v>4179.83</v>
      </c>
      <c r="W195" s="60">
        <f t="shared" si="4"/>
        <v>2.4823239348792381E-3</v>
      </c>
    </row>
    <row r="196" spans="15:23">
      <c r="O196" s="58">
        <v>45078</v>
      </c>
      <c r="P196" s="59">
        <v>19189.050781000002</v>
      </c>
      <c r="Q196" s="60">
        <f t="shared" si="5"/>
        <v>3.5320829171138879E-2</v>
      </c>
      <c r="U196" s="58">
        <v>45078</v>
      </c>
      <c r="V196" s="61">
        <v>4450.38</v>
      </c>
      <c r="W196" s="60">
        <f t="shared" si="4"/>
        <v>6.4727512841431301E-2</v>
      </c>
    </row>
    <row r="197" spans="15:23">
      <c r="O197" s="58">
        <v>45108</v>
      </c>
      <c r="P197" s="59">
        <v>19753.800781000002</v>
      </c>
      <c r="Q197" s="60">
        <f t="shared" si="5"/>
        <v>2.9430846082245221E-2</v>
      </c>
      <c r="U197" s="58">
        <v>45108</v>
      </c>
      <c r="V197" s="61">
        <v>4588.96</v>
      </c>
      <c r="W197" s="60">
        <f t="shared" si="4"/>
        <v>3.1138913980379268E-2</v>
      </c>
    </row>
    <row r="198" spans="15:23">
      <c r="O198" s="58">
        <v>45139</v>
      </c>
      <c r="P198" s="59">
        <v>19253.800781000002</v>
      </c>
      <c r="Q198" s="60">
        <f t="shared" si="5"/>
        <v>-2.5311584618233018E-2</v>
      </c>
      <c r="U198" s="58">
        <v>45139</v>
      </c>
      <c r="V198" s="61">
        <v>4507.66</v>
      </c>
      <c r="W198" s="60">
        <f t="shared" si="4"/>
        <v>-1.771643248143373E-2</v>
      </c>
    </row>
    <row r="199" spans="15:23">
      <c r="O199" s="58">
        <v>45170</v>
      </c>
      <c r="P199" s="59">
        <v>19638.300781000002</v>
      </c>
      <c r="Q199" s="60">
        <f t="shared" si="5"/>
        <v>1.9970083017553097E-2</v>
      </c>
      <c r="U199" s="58">
        <v>45170</v>
      </c>
      <c r="V199" s="61">
        <v>4288.05</v>
      </c>
      <c r="W199" s="60">
        <f t="shared" si="4"/>
        <v>-4.871929116215501E-2</v>
      </c>
    </row>
    <row r="200" spans="15:23">
      <c r="O200" s="58">
        <v>45200</v>
      </c>
      <c r="P200" s="59">
        <v>19079.599609000001</v>
      </c>
      <c r="Q200" s="60">
        <f t="shared" si="5"/>
        <v>-2.8449567924967445E-2</v>
      </c>
      <c r="U200" s="58">
        <v>45200</v>
      </c>
      <c r="V200" s="61">
        <v>4193.8</v>
      </c>
      <c r="W200" s="60">
        <f t="shared" si="4"/>
        <v>-2.1979687736850106E-2</v>
      </c>
    </row>
    <row r="201" spans="15:23">
      <c r="O201" s="58">
        <v>45231</v>
      </c>
      <c r="P201" s="59">
        <v>20133.150390999999</v>
      </c>
      <c r="Q201" s="60">
        <f t="shared" si="5"/>
        <v>5.5218704982835654E-2</v>
      </c>
      <c r="U201" s="58">
        <v>45231</v>
      </c>
      <c r="V201" s="61">
        <v>4567.8</v>
      </c>
      <c r="W201" s="60">
        <f t="shared" ref="W201:W210" si="6">(V201/V200)-1</f>
        <v>8.9179264628737709E-2</v>
      </c>
    </row>
    <row r="202" spans="15:23">
      <c r="O202" s="58">
        <v>45261</v>
      </c>
      <c r="P202" s="59">
        <v>21731.400390999999</v>
      </c>
      <c r="Q202" s="60">
        <f t="shared" ref="Q202:Q211" si="7">(P202/P201)-1</f>
        <v>7.9383999471560829E-2</v>
      </c>
      <c r="U202" s="58">
        <v>45261</v>
      </c>
      <c r="V202" s="61">
        <v>4769.83</v>
      </c>
      <c r="W202" s="60">
        <f t="shared" si="6"/>
        <v>4.4229169403213753E-2</v>
      </c>
    </row>
    <row r="203" spans="15:23">
      <c r="O203" s="58">
        <v>45292</v>
      </c>
      <c r="P203" s="59">
        <v>21725.699218999998</v>
      </c>
      <c r="Q203" s="60">
        <f t="shared" si="7"/>
        <v>-2.6234719794504535E-4</v>
      </c>
      <c r="U203" s="58">
        <v>45292</v>
      </c>
      <c r="V203" s="61">
        <v>4845.6499999999996</v>
      </c>
      <c r="W203" s="60">
        <f t="shared" si="6"/>
        <v>1.5895744712075555E-2</v>
      </c>
    </row>
    <row r="204" spans="15:23">
      <c r="O204" s="58">
        <v>45323</v>
      </c>
      <c r="P204" s="59">
        <v>21982.800781000002</v>
      </c>
      <c r="Q204" s="60">
        <f t="shared" si="7"/>
        <v>1.1833983312037999E-2</v>
      </c>
      <c r="U204" s="58">
        <v>45323</v>
      </c>
      <c r="V204" s="61">
        <v>5096.2700000000004</v>
      </c>
      <c r="W204" s="60">
        <f t="shared" si="6"/>
        <v>5.1720615397315317E-2</v>
      </c>
    </row>
    <row r="205" spans="15:23">
      <c r="O205" s="58">
        <v>45352</v>
      </c>
      <c r="P205" s="59">
        <v>22326.900390999999</v>
      </c>
      <c r="Q205" s="60">
        <f t="shared" si="7"/>
        <v>1.5653128708576824E-2</v>
      </c>
      <c r="U205" s="58">
        <v>45352</v>
      </c>
      <c r="V205" s="61">
        <v>5254.35</v>
      </c>
      <c r="W205" s="60">
        <f t="shared" si="6"/>
        <v>3.1018764704381807E-2</v>
      </c>
    </row>
    <row r="206" spans="15:23">
      <c r="O206" s="58">
        <v>45383</v>
      </c>
      <c r="P206" s="59">
        <v>22604.849609000001</v>
      </c>
      <c r="Q206" s="60">
        <f t="shared" si="7"/>
        <v>1.2449073231501684E-2</v>
      </c>
      <c r="U206" s="58">
        <v>45383</v>
      </c>
      <c r="V206" s="61">
        <v>5035.6899999999996</v>
      </c>
      <c r="W206" s="60">
        <f t="shared" si="6"/>
        <v>-4.1615042774082567E-2</v>
      </c>
    </row>
    <row r="207" spans="15:23">
      <c r="O207" s="58">
        <v>45413</v>
      </c>
      <c r="P207" s="59">
        <v>22530.699218999998</v>
      </c>
      <c r="Q207" s="60">
        <f t="shared" si="7"/>
        <v>-3.2802868093614324E-3</v>
      </c>
      <c r="U207" s="58">
        <v>45413</v>
      </c>
      <c r="V207" s="61">
        <v>5277.51</v>
      </c>
      <c r="W207" s="60">
        <f t="shared" si="6"/>
        <v>4.8021224499522619E-2</v>
      </c>
    </row>
    <row r="208" spans="15:23">
      <c r="O208" s="58">
        <v>45444</v>
      </c>
      <c r="P208" s="59">
        <v>24010.599609000001</v>
      </c>
      <c r="Q208" s="60">
        <f t="shared" si="7"/>
        <v>6.5683731144571489E-2</v>
      </c>
      <c r="U208" s="58">
        <v>45444</v>
      </c>
      <c r="V208" s="61">
        <v>5460.48</v>
      </c>
      <c r="W208" s="60">
        <f t="shared" si="6"/>
        <v>3.4669759034089864E-2</v>
      </c>
    </row>
    <row r="209" spans="15:23">
      <c r="O209" s="58">
        <v>45474</v>
      </c>
      <c r="P209" s="59">
        <v>24951.150390999999</v>
      </c>
      <c r="Q209" s="60">
        <f t="shared" si="7"/>
        <v>3.9172315448859019E-2</v>
      </c>
      <c r="U209" s="58">
        <v>45474</v>
      </c>
      <c r="V209" s="61">
        <v>5522.3</v>
      </c>
      <c r="W209" s="60">
        <f t="shared" si="6"/>
        <v>1.1321349038912354E-2</v>
      </c>
    </row>
    <row r="210" spans="15:23">
      <c r="O210" s="58">
        <v>45505</v>
      </c>
      <c r="P210" s="59">
        <v>25010.900390999999</v>
      </c>
      <c r="Q210" s="60">
        <f t="shared" si="7"/>
        <v>2.3946791656368482E-3</v>
      </c>
      <c r="U210" s="58">
        <v>45505</v>
      </c>
      <c r="V210" s="61">
        <v>5625.8</v>
      </c>
      <c r="W210" s="60">
        <f t="shared" si="6"/>
        <v>1.8742190753852528E-2</v>
      </c>
    </row>
    <row r="211" spans="15:23">
      <c r="O211" s="58">
        <v>45506</v>
      </c>
      <c r="P211" s="59">
        <v>24717.699218999998</v>
      </c>
      <c r="Q211" s="60">
        <f t="shared" si="7"/>
        <v>-1.1722935496776721E-2</v>
      </c>
      <c r="U211" s="58"/>
    </row>
  </sheetData>
  <mergeCells count="5">
    <mergeCell ref="B5:C5"/>
    <mergeCell ref="O6:Q6"/>
    <mergeCell ref="U6:W6"/>
    <mergeCell ref="B21:C22"/>
    <mergeCell ref="D21:D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FEF7-944F-4027-AAA9-74ECED351C02}">
  <dimension ref="B3:I12"/>
  <sheetViews>
    <sheetView showGridLines="0" zoomScale="102" workbookViewId="0">
      <selection activeCell="H12" sqref="H12"/>
    </sheetView>
  </sheetViews>
  <sheetFormatPr defaultRowHeight="14.5"/>
  <cols>
    <col min="1" max="1" width="1.90625" customWidth="1"/>
    <col min="3" max="3" width="21.81640625" bestFit="1" customWidth="1"/>
  </cols>
  <sheetData>
    <row r="3" spans="2:9">
      <c r="B3" s="2" t="s">
        <v>306</v>
      </c>
      <c r="C3" s="3"/>
      <c r="D3" s="3"/>
      <c r="E3" s="3"/>
      <c r="F3" s="3"/>
      <c r="G3" s="3"/>
      <c r="H3" s="3"/>
      <c r="I3" s="3"/>
    </row>
    <row r="5" spans="2:9" ht="16.5">
      <c r="B5" s="134" t="s">
        <v>1</v>
      </c>
      <c r="C5" s="134"/>
      <c r="D5" s="1" t="s">
        <v>2</v>
      </c>
    </row>
    <row r="6" spans="2:9">
      <c r="B6" s="71"/>
      <c r="C6" s="71"/>
      <c r="D6" s="72" t="s">
        <v>295</v>
      </c>
      <c r="E6" s="3"/>
      <c r="F6" s="3"/>
      <c r="G6" s="3"/>
      <c r="H6" s="3"/>
      <c r="I6" s="3"/>
    </row>
    <row r="8" spans="2:9">
      <c r="B8" t="s">
        <v>307</v>
      </c>
      <c r="C8" s="60">
        <f>Rf!C35</f>
        <v>4.648999999999999E-2</v>
      </c>
    </row>
    <row r="9" spans="2:9">
      <c r="B9" t="s">
        <v>308</v>
      </c>
      <c r="C9" s="59">
        <f>bupbeta!C23</f>
        <v>0.6754417526678903</v>
      </c>
    </row>
    <row r="10" spans="2:9">
      <c r="B10" t="s">
        <v>309</v>
      </c>
      <c r="C10" s="67">
        <f>Rm!E28</f>
        <v>8.8099999999999998E-2</v>
      </c>
    </row>
    <row r="11" spans="2:9">
      <c r="B11" s="3" t="s">
        <v>310</v>
      </c>
      <c r="C11" s="73">
        <f>C10-C8</f>
        <v>4.1610000000000008E-2</v>
      </c>
    </row>
    <row r="12" spans="2:9" ht="15" thickBot="1">
      <c r="B12" s="53" t="s">
        <v>311</v>
      </c>
      <c r="C12" s="74">
        <f>C8+C11*C9</f>
        <v>7.4595131328510908E-2</v>
      </c>
    </row>
  </sheetData>
  <mergeCells count="1">
    <mergeCell ref="B5:C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78E6-03EC-445A-AD32-1C57BD870786}">
  <dimension ref="B3:I19"/>
  <sheetViews>
    <sheetView showGridLines="0" topLeftCell="A12" workbookViewId="0">
      <selection activeCell="J16" sqref="J16"/>
    </sheetView>
  </sheetViews>
  <sheetFormatPr defaultRowHeight="14.5"/>
  <cols>
    <col min="1" max="1" width="1.90625" customWidth="1"/>
    <col min="2" max="2" width="16.90625" bestFit="1" customWidth="1"/>
    <col min="3" max="3" width="11" customWidth="1"/>
  </cols>
  <sheetData>
    <row r="3" spans="2:9">
      <c r="B3" s="2" t="s">
        <v>317</v>
      </c>
      <c r="C3" s="3"/>
      <c r="D3" s="3"/>
      <c r="E3" s="3"/>
      <c r="F3" s="3"/>
      <c r="G3" s="3"/>
      <c r="H3" s="3"/>
      <c r="I3" s="3"/>
    </row>
    <row r="5" spans="2:9" ht="16.5">
      <c r="B5" s="145" t="s">
        <v>318</v>
      </c>
      <c r="C5" s="145"/>
      <c r="D5" s="1" t="s">
        <v>319</v>
      </c>
    </row>
    <row r="6" spans="2:9">
      <c r="B6" s="71"/>
      <c r="C6" s="71"/>
      <c r="D6" s="72"/>
      <c r="E6" s="3"/>
      <c r="F6" s="3"/>
      <c r="G6" s="3"/>
      <c r="H6" s="3"/>
      <c r="I6" s="3"/>
    </row>
    <row r="8" spans="2:9" ht="16.5">
      <c r="B8" t="s">
        <v>320</v>
      </c>
      <c r="C8" s="67">
        <f>1-C12</f>
        <v>0.34913950287616602</v>
      </c>
    </row>
    <row r="9" spans="2:9" ht="16.5">
      <c r="B9" s="76" t="s">
        <v>321</v>
      </c>
      <c r="C9" s="77">
        <f>Rd!C11</f>
        <v>7.0389999999999994E-2</v>
      </c>
    </row>
    <row r="10" spans="2:9" ht="16.5">
      <c r="B10" s="76" t="s">
        <v>322</v>
      </c>
      <c r="C10" s="78">
        <v>0.25869999999999999</v>
      </c>
    </row>
    <row r="11" spans="2:9" ht="16.5">
      <c r="B11" s="76" t="s">
        <v>323</v>
      </c>
      <c r="C11" s="79">
        <f>C9*(1-C10)</f>
        <v>5.2180107000000003E-2</v>
      </c>
    </row>
    <row r="12" spans="2:9" ht="16.5">
      <c r="B12" s="76" t="s">
        <v>324</v>
      </c>
      <c r="C12" s="79">
        <f>C18/(C18+C19)</f>
        <v>0.65086049712383398</v>
      </c>
    </row>
    <row r="13" spans="2:9" ht="16.5">
      <c r="B13" t="s">
        <v>325</v>
      </c>
      <c r="C13" s="67">
        <f>Re!C12</f>
        <v>7.4595131328510908E-2</v>
      </c>
    </row>
    <row r="14" spans="2:9" ht="15" thickBot="1">
      <c r="B14" s="53" t="s">
        <v>327</v>
      </c>
      <c r="C14" s="74">
        <f>C13*C12+C11*C8</f>
        <v>6.6769160877497444E-2</v>
      </c>
    </row>
    <row r="18" spans="2:3">
      <c r="B18" s="65" t="s">
        <v>281</v>
      </c>
      <c r="C18" s="80">
        <v>2766.45</v>
      </c>
    </row>
    <row r="19" spans="2:3">
      <c r="B19" s="65" t="s">
        <v>326</v>
      </c>
      <c r="C19" s="80">
        <v>1484</v>
      </c>
    </row>
  </sheetData>
  <mergeCells count="1">
    <mergeCell ref="B5:C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8EAED-D71C-43B3-A40B-0C0C63E1762D}">
  <dimension ref="B2:AA69"/>
  <sheetViews>
    <sheetView showGridLines="0" workbookViewId="0">
      <selection activeCell="F48" sqref="F48"/>
    </sheetView>
  </sheetViews>
  <sheetFormatPr defaultColWidth="8.90625" defaultRowHeight="14.5"/>
  <cols>
    <col min="1" max="1" width="1.90625" customWidth="1"/>
    <col min="2" max="2" width="25" bestFit="1" customWidth="1"/>
    <col min="3" max="3" width="9.36328125" bestFit="1" customWidth="1"/>
    <col min="4" max="4" width="11.54296875" customWidth="1"/>
    <col min="5" max="5" width="14.1796875" bestFit="1" customWidth="1"/>
    <col min="6" max="6" width="9.08984375" bestFit="1" customWidth="1"/>
    <col min="7" max="7" width="10.54296875" bestFit="1" customWidth="1"/>
    <col min="8" max="9" width="11.54296875" bestFit="1" customWidth="1"/>
    <col min="10" max="10" width="12.54296875" bestFit="1" customWidth="1"/>
    <col min="11" max="11" width="14.6328125" bestFit="1" customWidth="1"/>
    <col min="12" max="13" width="9" bestFit="1" customWidth="1"/>
  </cols>
  <sheetData>
    <row r="2" spans="2:27" ht="29">
      <c r="L2" s="122" t="s">
        <v>426</v>
      </c>
    </row>
    <row r="3" spans="2:27">
      <c r="G3" s="93">
        <v>1</v>
      </c>
      <c r="H3" s="93">
        <v>2</v>
      </c>
      <c r="I3" s="93">
        <v>3</v>
      </c>
      <c r="J3" s="93">
        <v>4</v>
      </c>
      <c r="K3" s="93">
        <v>5</v>
      </c>
      <c r="L3" s="129">
        <v>6</v>
      </c>
    </row>
    <row r="4" spans="2:27">
      <c r="C4" s="84">
        <v>2021</v>
      </c>
      <c r="D4" s="84">
        <f>C4+1</f>
        <v>2022</v>
      </c>
      <c r="E4" s="84">
        <f t="shared" ref="E4:L4" si="0">D4+1</f>
        <v>2023</v>
      </c>
      <c r="F4" s="84">
        <f t="shared" si="0"/>
        <v>2024</v>
      </c>
      <c r="G4" s="85">
        <f t="shared" si="0"/>
        <v>2025</v>
      </c>
      <c r="H4" s="85">
        <f t="shared" si="0"/>
        <v>2026</v>
      </c>
      <c r="I4" s="85">
        <f t="shared" si="0"/>
        <v>2027</v>
      </c>
      <c r="J4" s="85">
        <f t="shared" si="0"/>
        <v>2028</v>
      </c>
      <c r="K4" s="85">
        <f t="shared" si="0"/>
        <v>2029</v>
      </c>
      <c r="L4" s="115">
        <f t="shared" si="0"/>
        <v>2030</v>
      </c>
    </row>
    <row r="5" spans="2:27">
      <c r="B5" s="88" t="s">
        <v>328</v>
      </c>
      <c r="C5" s="91">
        <v>45311</v>
      </c>
      <c r="D5" s="91">
        <v>50336</v>
      </c>
      <c r="E5" s="91">
        <v>58154</v>
      </c>
      <c r="F5" s="91">
        <v>59579</v>
      </c>
      <c r="G5" s="117">
        <f>F5*(1+G6)</f>
        <v>64048.113952664942</v>
      </c>
      <c r="H5" s="117">
        <f t="shared" ref="H5:L5" si="1">G5*(1+H6)</f>
        <v>68852.463131196462</v>
      </c>
      <c r="I5" s="117">
        <f t="shared" si="1"/>
        <v>74017.194054088395</v>
      </c>
      <c r="J5" s="117">
        <f t="shared" si="1"/>
        <v>79569.339519508008</v>
      </c>
      <c r="K5" s="117">
        <f t="shared" si="1"/>
        <v>85537.9600980838</v>
      </c>
      <c r="L5" s="118">
        <f t="shared" si="1"/>
        <v>91954.296239288655</v>
      </c>
    </row>
    <row r="6" spans="2:27">
      <c r="B6" s="104" t="s">
        <v>434</v>
      </c>
      <c r="C6" s="101"/>
      <c r="D6" s="94">
        <f>(D5/C5)-1</f>
        <v>0.11090022290393065</v>
      </c>
      <c r="E6" s="94">
        <f t="shared" ref="E6:F6" si="2">(E5/D5)-1</f>
        <v>0.15531627463445652</v>
      </c>
      <c r="F6" s="94">
        <f t="shared" si="2"/>
        <v>2.4503903428826801E-2</v>
      </c>
      <c r="G6" s="94">
        <f>GEOMEAN(D6:F6)</f>
        <v>7.5011563682924207E-2</v>
      </c>
      <c r="H6" s="94">
        <f>G6</f>
        <v>7.5011563682924207E-2</v>
      </c>
      <c r="I6" s="94">
        <f t="shared" ref="I6:L6" si="3">H6</f>
        <v>7.5011563682924207E-2</v>
      </c>
      <c r="J6" s="94">
        <f t="shared" si="3"/>
        <v>7.5011563682924207E-2</v>
      </c>
      <c r="K6" s="94">
        <f t="shared" si="3"/>
        <v>7.5011563682924207E-2</v>
      </c>
      <c r="L6" s="102">
        <f t="shared" si="3"/>
        <v>7.5011563682924207E-2</v>
      </c>
    </row>
    <row r="7" spans="2:27">
      <c r="B7" s="86" t="s">
        <v>329</v>
      </c>
      <c r="C7" s="92">
        <v>1198</v>
      </c>
      <c r="D7" s="92">
        <v>1250</v>
      </c>
      <c r="E7" s="92">
        <v>1630</v>
      </c>
      <c r="F7" s="92">
        <v>1863</v>
      </c>
      <c r="G7" s="92">
        <f>G8-G5</f>
        <v>11752.678849530734</v>
      </c>
      <c r="H7" s="92">
        <f t="shared" ref="H7:L7" si="4">H8-H5</f>
        <v>26863.056671749975</v>
      </c>
      <c r="I7" s="92">
        <f t="shared" si="4"/>
        <v>50242.777112527183</v>
      </c>
      <c r="J7" s="92">
        <f t="shared" si="4"/>
        <v>83341.61746280099</v>
      </c>
      <c r="K7" s="92">
        <f t="shared" si="4"/>
        <v>130945.90806526018</v>
      </c>
      <c r="L7" s="95">
        <f t="shared" si="4"/>
        <v>186253.8480847216</v>
      </c>
    </row>
    <row r="8" spans="2:27">
      <c r="B8" s="86" t="s">
        <v>330</v>
      </c>
      <c r="C8" s="92">
        <v>46509</v>
      </c>
      <c r="D8" s="92">
        <v>51586</v>
      </c>
      <c r="E8" s="92">
        <v>59784</v>
      </c>
      <c r="F8" s="92">
        <v>61442</v>
      </c>
      <c r="G8" s="117">
        <f t="shared" ref="G8:L8" si="5">F8*(1+F40)</f>
        <v>75800.792802195676</v>
      </c>
      <c r="H8" s="117">
        <f t="shared" si="5"/>
        <v>95715.519802946437</v>
      </c>
      <c r="I8" s="117">
        <f t="shared" si="5"/>
        <v>124259.97116661558</v>
      </c>
      <c r="J8" s="117">
        <f t="shared" si="5"/>
        <v>162910.956982309</v>
      </c>
      <c r="K8" s="117">
        <f t="shared" si="5"/>
        <v>216483.86816334398</v>
      </c>
      <c r="L8" s="118">
        <f t="shared" si="5"/>
        <v>278208.14432401024</v>
      </c>
    </row>
    <row r="9" spans="2:27">
      <c r="B9" s="104" t="s">
        <v>424</v>
      </c>
      <c r="C9" s="101"/>
      <c r="D9" s="94">
        <f>(D8/C8)-1</f>
        <v>0.1091616676342213</v>
      </c>
      <c r="E9" s="94">
        <f t="shared" ref="E9:L9" si="6">(E8/D8)-1</f>
        <v>0.15891908657387654</v>
      </c>
      <c r="F9" s="94">
        <f t="shared" si="6"/>
        <v>2.7733172755252333E-2</v>
      </c>
      <c r="G9" s="94">
        <f t="shared" si="6"/>
        <v>0.23369670261703201</v>
      </c>
      <c r="H9" s="94">
        <f t="shared" si="6"/>
        <v>0.26272452126877899</v>
      </c>
      <c r="I9" s="94">
        <f t="shared" si="6"/>
        <v>0.29822176615072249</v>
      </c>
      <c r="J9" s="94">
        <f t="shared" si="6"/>
        <v>0.31104937054804038</v>
      </c>
      <c r="K9" s="94">
        <f t="shared" si="6"/>
        <v>0.32884780848014183</v>
      </c>
      <c r="L9" s="102">
        <f t="shared" si="6"/>
        <v>0.28512182771093753</v>
      </c>
      <c r="M9" s="6"/>
      <c r="N9" s="117"/>
      <c r="O9" s="117"/>
      <c r="P9" s="117"/>
      <c r="Q9" s="117"/>
      <c r="R9" s="117"/>
      <c r="S9" s="117"/>
      <c r="T9" s="117"/>
      <c r="U9" s="117"/>
      <c r="V9" s="117"/>
      <c r="W9" s="117"/>
      <c r="X9" s="117"/>
      <c r="Y9" s="117"/>
      <c r="Z9" s="117"/>
      <c r="AA9" s="117"/>
    </row>
    <row r="10" spans="2:27">
      <c r="B10" s="86" t="s">
        <v>335</v>
      </c>
      <c r="C10" s="92">
        <v>34899</v>
      </c>
      <c r="D10" s="92">
        <v>38724</v>
      </c>
      <c r="E10" s="92">
        <v>45574</v>
      </c>
      <c r="F10" s="92">
        <v>46368</v>
      </c>
      <c r="G10" s="117">
        <f>G8*G11</f>
        <v>56850.594601646757</v>
      </c>
      <c r="H10" s="117">
        <f t="shared" ref="H10:L10" si="7">H8*H11</f>
        <v>71786.639852209832</v>
      </c>
      <c r="I10" s="117">
        <f t="shared" si="7"/>
        <v>93194.978374961676</v>
      </c>
      <c r="J10" s="117">
        <f t="shared" si="7"/>
        <v>122183.21773673175</v>
      </c>
      <c r="K10" s="117">
        <f t="shared" si="7"/>
        <v>162362.90112250799</v>
      </c>
      <c r="L10" s="118">
        <f t="shared" si="7"/>
        <v>208656.10824300768</v>
      </c>
    </row>
    <row r="11" spans="2:27" ht="18.649999999999999" customHeight="1">
      <c r="B11" s="104" t="s">
        <v>423</v>
      </c>
      <c r="C11" s="94">
        <f>C10/C8</f>
        <v>0.75037089595562145</v>
      </c>
      <c r="D11" s="94">
        <f t="shared" ref="D11:F11" si="8">D10/D8</f>
        <v>0.75066878610475707</v>
      </c>
      <c r="E11" s="94">
        <f t="shared" si="8"/>
        <v>0.76231098621704807</v>
      </c>
      <c r="F11" s="94">
        <f t="shared" si="8"/>
        <v>0.75466293414927899</v>
      </c>
      <c r="G11" s="94">
        <f>75%</f>
        <v>0.75</v>
      </c>
      <c r="H11" s="94">
        <f t="shared" ref="H11:L11" si="9">G11</f>
        <v>0.75</v>
      </c>
      <c r="I11" s="94">
        <f t="shared" si="9"/>
        <v>0.75</v>
      </c>
      <c r="J11" s="94">
        <f t="shared" si="9"/>
        <v>0.75</v>
      </c>
      <c r="K11" s="94">
        <f t="shared" si="9"/>
        <v>0.75</v>
      </c>
      <c r="L11" s="102">
        <f t="shared" si="9"/>
        <v>0.75</v>
      </c>
    </row>
    <row r="12" spans="2:27">
      <c r="B12" s="105" t="s">
        <v>334</v>
      </c>
      <c r="C12" s="99">
        <v>11610</v>
      </c>
      <c r="D12" s="99">
        <v>12862</v>
      </c>
      <c r="E12" s="99">
        <v>14210</v>
      </c>
      <c r="F12" s="99">
        <v>15074</v>
      </c>
      <c r="G12" s="99">
        <f>G8-G10</f>
        <v>18950.198200548919</v>
      </c>
      <c r="H12" s="99">
        <f t="shared" ref="H12:L12" si="10">H8-H10</f>
        <v>23928.879950736606</v>
      </c>
      <c r="I12" s="99">
        <f t="shared" si="10"/>
        <v>31064.992791653902</v>
      </c>
      <c r="J12" s="99">
        <f t="shared" si="10"/>
        <v>40727.73924557725</v>
      </c>
      <c r="K12" s="99">
        <f t="shared" si="10"/>
        <v>54120.967040835996</v>
      </c>
      <c r="L12" s="97">
        <f t="shared" si="10"/>
        <v>69552.03608100256</v>
      </c>
    </row>
    <row r="13" spans="2:27">
      <c r="B13" s="86" t="s">
        <v>336</v>
      </c>
      <c r="C13" s="92">
        <v>1012</v>
      </c>
      <c r="D13" s="92">
        <v>1025</v>
      </c>
      <c r="E13" s="92">
        <v>1030</v>
      </c>
      <c r="F13" s="92">
        <v>1097</v>
      </c>
      <c r="G13" s="117">
        <f>G14*G12</f>
        <v>758.00792802195679</v>
      </c>
      <c r="H13" s="117">
        <f t="shared" ref="H13:L13" si="11">H14*H12</f>
        <v>957.15519802946426</v>
      </c>
      <c r="I13" s="117">
        <f t="shared" si="11"/>
        <v>1242.5997116661561</v>
      </c>
      <c r="J13" s="117">
        <f t="shared" si="11"/>
        <v>1629.1095698230899</v>
      </c>
      <c r="K13" s="117">
        <f t="shared" si="11"/>
        <v>2164.83868163344</v>
      </c>
      <c r="L13" s="118">
        <f t="shared" si="11"/>
        <v>2782.0814432401025</v>
      </c>
    </row>
    <row r="14" spans="2:27">
      <c r="B14" s="104" t="s">
        <v>425</v>
      </c>
      <c r="C14" s="94">
        <f>C13/(BS!E53+BS!E57)</f>
        <v>4.6995449057304725E-2</v>
      </c>
      <c r="D14" s="94">
        <f>D13/(BS!D53+BS!D57)</f>
        <v>4.7026977427050837E-2</v>
      </c>
      <c r="E14" s="94">
        <f>E13/(BS!C53+BS!C57)</f>
        <v>4.1917629822562266E-2</v>
      </c>
      <c r="F14" s="94">
        <f>F13/(BS!B53+BS!B57)</f>
        <v>3.9391001472225212E-2</v>
      </c>
      <c r="G14" s="90">
        <v>0.04</v>
      </c>
      <c r="H14" s="90">
        <f>G14</f>
        <v>0.04</v>
      </c>
      <c r="I14" s="90">
        <f t="shared" ref="I14:L14" si="12">H14</f>
        <v>0.04</v>
      </c>
      <c r="J14" s="90">
        <f t="shared" si="12"/>
        <v>0.04</v>
      </c>
      <c r="K14" s="90">
        <f t="shared" si="12"/>
        <v>0.04</v>
      </c>
      <c r="L14" s="107">
        <f t="shared" si="12"/>
        <v>0.04</v>
      </c>
    </row>
    <row r="15" spans="2:27">
      <c r="B15" s="105" t="s">
        <v>433</v>
      </c>
      <c r="C15" s="99">
        <f>C12-C13</f>
        <v>10598</v>
      </c>
      <c r="D15" s="99">
        <f t="shared" ref="D15:F15" si="13">D12-D13</f>
        <v>11837</v>
      </c>
      <c r="E15" s="99">
        <f t="shared" si="13"/>
        <v>13180</v>
      </c>
      <c r="F15" s="99">
        <f t="shared" si="13"/>
        <v>13977</v>
      </c>
      <c r="G15" s="99">
        <f>G12-G13</f>
        <v>18192.190272526961</v>
      </c>
      <c r="H15" s="99">
        <f t="shared" ref="H15:L15" si="14">H12-H13</f>
        <v>22971.724752707141</v>
      </c>
      <c r="I15" s="99">
        <f t="shared" si="14"/>
        <v>29822.393079987745</v>
      </c>
      <c r="J15" s="99">
        <f t="shared" si="14"/>
        <v>39098.629675754157</v>
      </c>
      <c r="K15" s="99">
        <f t="shared" si="14"/>
        <v>51956.128359202557</v>
      </c>
      <c r="L15" s="97">
        <f t="shared" si="14"/>
        <v>66769.95463776245</v>
      </c>
    </row>
    <row r="16" spans="2:27">
      <c r="B16" s="86" t="s">
        <v>331</v>
      </c>
      <c r="C16" s="92">
        <v>108</v>
      </c>
      <c r="D16" s="92">
        <v>98</v>
      </c>
      <c r="E16" s="92">
        <v>101</v>
      </c>
      <c r="F16" s="92">
        <v>302</v>
      </c>
      <c r="G16" s="87">
        <f>AVERAGE(C16:F16)</f>
        <v>152.25</v>
      </c>
      <c r="H16" s="87">
        <f t="shared" ref="H16:L16" si="15">AVERAGE(D16:G16)</f>
        <v>163.3125</v>
      </c>
      <c r="I16" s="87">
        <f t="shared" si="15"/>
        <v>179.640625</v>
      </c>
      <c r="J16" s="87">
        <f t="shared" si="15"/>
        <v>199.30078125</v>
      </c>
      <c r="K16" s="87">
        <f t="shared" si="15"/>
        <v>173.6259765625</v>
      </c>
      <c r="L16" s="103">
        <f t="shared" si="15"/>
        <v>178.969970703125</v>
      </c>
    </row>
    <row r="17" spans="2:12">
      <c r="B17" s="105" t="s">
        <v>337</v>
      </c>
      <c r="C17" s="99">
        <f>C15-C16</f>
        <v>10490</v>
      </c>
      <c r="D17" s="99">
        <f t="shared" ref="D17:F17" si="16">D15-D16</f>
        <v>11739</v>
      </c>
      <c r="E17" s="99">
        <f t="shared" si="16"/>
        <v>13079</v>
      </c>
      <c r="F17" s="99">
        <f t="shared" si="16"/>
        <v>13675</v>
      </c>
      <c r="G17" s="99">
        <f t="shared" ref="G17" si="17">G15-G16</f>
        <v>18039.940272526961</v>
      </c>
      <c r="H17" s="99">
        <f t="shared" ref="H17" si="18">H15-H16</f>
        <v>22808.412252707141</v>
      </c>
      <c r="I17" s="99">
        <f t="shared" ref="I17" si="19">I15-I16</f>
        <v>29642.752454987745</v>
      </c>
      <c r="J17" s="99">
        <f t="shared" ref="J17" si="20">J15-J16</f>
        <v>38899.328894504157</v>
      </c>
      <c r="K17" s="99">
        <f t="shared" ref="K17" si="21">K15-K16</f>
        <v>51782.502382640057</v>
      </c>
      <c r="L17" s="97">
        <f t="shared" ref="L17" si="22">L15-L16</f>
        <v>66590.984667059325</v>
      </c>
    </row>
    <row r="18" spans="2:12">
      <c r="B18" s="86" t="s">
        <v>332</v>
      </c>
      <c r="C18" s="92">
        <v>2536</v>
      </c>
      <c r="D18" s="92">
        <v>2921</v>
      </c>
      <c r="E18" s="92">
        <v>3117</v>
      </c>
      <c r="F18" s="92">
        <v>3561</v>
      </c>
      <c r="G18" s="117">
        <f>G17*G19</f>
        <v>4461.7548751605536</v>
      </c>
      <c r="H18" s="117">
        <f t="shared" ref="H18:L18" si="23">H17*H19</f>
        <v>5641.1242512907111</v>
      </c>
      <c r="I18" s="117">
        <f t="shared" si="23"/>
        <v>7331.4375369987183</v>
      </c>
      <c r="J18" s="117">
        <f t="shared" si="23"/>
        <v>9620.8339780282568</v>
      </c>
      <c r="K18" s="117">
        <f t="shared" si="23"/>
        <v>12807.183891046998</v>
      </c>
      <c r="L18" s="118">
        <f t="shared" si="23"/>
        <v>17027.314779367069</v>
      </c>
    </row>
    <row r="19" spans="2:12">
      <c r="B19" s="104" t="s">
        <v>339</v>
      </c>
      <c r="C19" s="94">
        <f>C18/C17</f>
        <v>0.24175405147759771</v>
      </c>
      <c r="D19" s="94">
        <f t="shared" ref="D19:F19" si="24">D18/D17</f>
        <v>0.24882869068915581</v>
      </c>
      <c r="E19" s="94">
        <f t="shared" si="24"/>
        <v>0.23832097255141829</v>
      </c>
      <c r="F19" s="94">
        <f t="shared" si="24"/>
        <v>0.26040219378427787</v>
      </c>
      <c r="G19" s="89">
        <f>AVERAGE(C19:F19)</f>
        <v>0.24732647712561243</v>
      </c>
      <c r="H19" s="89">
        <f>G19</f>
        <v>0.24732647712561243</v>
      </c>
      <c r="I19" s="89">
        <f t="shared" ref="I19:K19" si="25">H19</f>
        <v>0.24732647712561243</v>
      </c>
      <c r="J19" s="89">
        <f t="shared" si="25"/>
        <v>0.24732647712561243</v>
      </c>
      <c r="K19" s="89">
        <f t="shared" si="25"/>
        <v>0.24732647712561243</v>
      </c>
      <c r="L19" s="107">
        <v>0.25569999999999998</v>
      </c>
    </row>
    <row r="20" spans="2:12" ht="15" thickBot="1">
      <c r="B20" s="96" t="s">
        <v>338</v>
      </c>
      <c r="C20" s="106">
        <v>7954</v>
      </c>
      <c r="D20" s="106">
        <v>8818</v>
      </c>
      <c r="E20" s="106">
        <v>9962</v>
      </c>
      <c r="F20" s="106">
        <v>10114</v>
      </c>
      <c r="G20" s="106">
        <f>G17-G18</f>
        <v>13578.185397366407</v>
      </c>
      <c r="H20" s="106">
        <f t="shared" ref="H20:L20" si="26">H17-H18</f>
        <v>17167.288001416429</v>
      </c>
      <c r="I20" s="106">
        <f t="shared" si="26"/>
        <v>22311.314917989028</v>
      </c>
      <c r="J20" s="106">
        <f t="shared" si="26"/>
        <v>29278.494916475902</v>
      </c>
      <c r="K20" s="106">
        <f t="shared" si="26"/>
        <v>38975.318491593061</v>
      </c>
      <c r="L20" s="119">
        <f t="shared" si="26"/>
        <v>49563.66988769226</v>
      </c>
    </row>
    <row r="21" spans="2:12">
      <c r="B21" s="86"/>
      <c r="C21" s="92"/>
      <c r="D21" s="92"/>
      <c r="E21" s="92"/>
      <c r="F21" s="92"/>
      <c r="L21" s="15"/>
    </row>
    <row r="22" spans="2:12">
      <c r="B22" s="86" t="str">
        <f>B15</f>
        <v>EBIT(Operating Income)</v>
      </c>
      <c r="C22" s="130">
        <f t="shared" ref="C22:L22" si="27">C15</f>
        <v>10598</v>
      </c>
      <c r="D22" s="130">
        <f t="shared" si="27"/>
        <v>11837</v>
      </c>
      <c r="E22" s="130">
        <f t="shared" si="27"/>
        <v>13180</v>
      </c>
      <c r="F22" s="130">
        <f t="shared" si="27"/>
        <v>13977</v>
      </c>
      <c r="G22" s="130">
        <f t="shared" si="27"/>
        <v>18192.190272526961</v>
      </c>
      <c r="H22" s="130">
        <f t="shared" si="27"/>
        <v>22971.724752707141</v>
      </c>
      <c r="I22" s="130">
        <f t="shared" si="27"/>
        <v>29822.393079987745</v>
      </c>
      <c r="J22" s="130">
        <f t="shared" si="27"/>
        <v>39098.629675754157</v>
      </c>
      <c r="K22" s="130">
        <f t="shared" si="27"/>
        <v>51956.128359202557</v>
      </c>
      <c r="L22" s="131">
        <f t="shared" si="27"/>
        <v>66769.95463776245</v>
      </c>
    </row>
    <row r="23" spans="2:12" ht="15" customHeight="1">
      <c r="B23" s="98" t="s">
        <v>340</v>
      </c>
      <c r="D23" s="98"/>
      <c r="H23" s="61"/>
      <c r="I23" s="61"/>
      <c r="L23" s="15"/>
    </row>
    <row r="24" spans="2:12">
      <c r="B24" t="s">
        <v>341</v>
      </c>
      <c r="C24" s="116">
        <v>46817</v>
      </c>
      <c r="D24">
        <v>607</v>
      </c>
      <c r="E24">
        <v>1065</v>
      </c>
      <c r="F24">
        <v>1536</v>
      </c>
      <c r="G24">
        <f>AVERAGE(C24:F24)</f>
        <v>12506.25</v>
      </c>
      <c r="H24" s="61">
        <f>G24</f>
        <v>12506.25</v>
      </c>
      <c r="I24" s="61">
        <f t="shared" ref="I24:K24" si="28">H24</f>
        <v>12506.25</v>
      </c>
      <c r="J24" s="61">
        <f t="shared" si="28"/>
        <v>12506.25</v>
      </c>
      <c r="K24" s="61">
        <f t="shared" si="28"/>
        <v>12506.25</v>
      </c>
      <c r="L24" s="120">
        <f t="shared" ref="L24" si="29">K24</f>
        <v>12506.25</v>
      </c>
    </row>
    <row r="25" spans="2:12">
      <c r="B25" t="s">
        <v>342</v>
      </c>
      <c r="C25" s="117">
        <f>C13</f>
        <v>1012</v>
      </c>
      <c r="D25" s="117">
        <f t="shared" ref="D25:F25" si="30">D13</f>
        <v>1025</v>
      </c>
      <c r="E25" s="117">
        <f t="shared" si="30"/>
        <v>1030</v>
      </c>
      <c r="F25" s="117">
        <f t="shared" si="30"/>
        <v>1097</v>
      </c>
      <c r="G25" s="117">
        <f>AVERAGE(C25:F25)</f>
        <v>1041</v>
      </c>
      <c r="H25" s="117">
        <f t="shared" ref="H25:L25" si="31">AVERAGE(D25:G25)</f>
        <v>1048.25</v>
      </c>
      <c r="I25" s="117">
        <f t="shared" si="31"/>
        <v>1054.0625</v>
      </c>
      <c r="J25" s="117">
        <f t="shared" si="31"/>
        <v>1060.078125</v>
      </c>
      <c r="K25" s="117">
        <f t="shared" si="31"/>
        <v>1050.84765625</v>
      </c>
      <c r="L25" s="118">
        <f t="shared" si="31"/>
        <v>1053.3095703125</v>
      </c>
    </row>
    <row r="26" spans="2:12">
      <c r="B26" t="s">
        <v>343</v>
      </c>
      <c r="C26" s="61">
        <f>D48</f>
        <v>-480</v>
      </c>
      <c r="D26" s="61">
        <f t="shared" ref="D26:K26" si="32">E48</f>
        <v>801</v>
      </c>
      <c r="E26" s="61">
        <f t="shared" si="32"/>
        <v>622</v>
      </c>
      <c r="F26" s="61">
        <f t="shared" si="32"/>
        <v>11652</v>
      </c>
      <c r="G26" s="61">
        <f t="shared" si="32"/>
        <v>2164.8966432471288</v>
      </c>
      <c r="H26" s="61">
        <f t="shared" si="32"/>
        <v>4406.2506883261658</v>
      </c>
      <c r="I26" s="61">
        <f t="shared" si="32"/>
        <v>5626.5029626663163</v>
      </c>
      <c r="J26" s="61">
        <f t="shared" si="32"/>
        <v>7347.9314649634116</v>
      </c>
      <c r="K26" s="61">
        <f t="shared" si="32"/>
        <v>5691.6759590580214</v>
      </c>
      <c r="L26" s="120">
        <f t="shared" ref="L26" si="33">M48</f>
        <v>6871.2327722452956</v>
      </c>
    </row>
    <row r="27" spans="2:12">
      <c r="B27" s="81" t="s">
        <v>344</v>
      </c>
      <c r="C27" s="82">
        <f>C24-C25+C26</f>
        <v>45325</v>
      </c>
      <c r="D27" s="82">
        <f t="shared" ref="D27:F27" si="34">D24-D25+D26</f>
        <v>383</v>
      </c>
      <c r="E27" s="82">
        <f t="shared" si="34"/>
        <v>657</v>
      </c>
      <c r="F27" s="82">
        <f t="shared" si="34"/>
        <v>12091</v>
      </c>
      <c r="G27" s="82">
        <f t="shared" ref="G27" si="35">G24-G25+G26</f>
        <v>13630.146643247128</v>
      </c>
      <c r="H27" s="82">
        <f t="shared" ref="H27" si="36">H24-H25+H26</f>
        <v>15864.250688326167</v>
      </c>
      <c r="I27" s="82">
        <f t="shared" ref="I27" si="37">I24-I25+I26</f>
        <v>17078.690462666316</v>
      </c>
      <c r="J27" s="82">
        <f t="shared" ref="J27" si="38">J24-J25+J26</f>
        <v>18794.103339963411</v>
      </c>
      <c r="K27" s="82">
        <f t="shared" ref="K27:L27" si="39">K24-K25+K26</f>
        <v>17147.078302808022</v>
      </c>
      <c r="L27" s="121">
        <f t="shared" si="39"/>
        <v>18324.173201932797</v>
      </c>
    </row>
    <row r="28" spans="2:12">
      <c r="L28" s="15"/>
    </row>
    <row r="29" spans="2:12">
      <c r="B29" s="1" t="s">
        <v>345</v>
      </c>
      <c r="C29" s="83"/>
      <c r="D29" s="83"/>
      <c r="E29" s="83"/>
      <c r="F29" s="83"/>
      <c r="G29" s="83">
        <f t="shared" ref="G29:L29" si="40">G15-G27</f>
        <v>4562.0436292798331</v>
      </c>
      <c r="H29" s="83">
        <f t="shared" si="40"/>
        <v>7107.4740643809746</v>
      </c>
      <c r="I29" s="83">
        <f t="shared" si="40"/>
        <v>12743.702617321429</v>
      </c>
      <c r="J29" s="83">
        <f t="shared" si="40"/>
        <v>20304.526335790746</v>
      </c>
      <c r="K29" s="83">
        <f t="shared" si="40"/>
        <v>34809.050056394539</v>
      </c>
      <c r="L29" s="100">
        <f t="shared" si="40"/>
        <v>48445.781435829653</v>
      </c>
    </row>
    <row r="30" spans="2:12">
      <c r="B30" s="1" t="s">
        <v>431</v>
      </c>
      <c r="C30" s="83"/>
      <c r="D30" s="83"/>
      <c r="E30" s="83"/>
      <c r="F30" s="83"/>
      <c r="G30" s="83">
        <f>G29/((1+B31)^G3)</f>
        <v>4276.5049802594694</v>
      </c>
      <c r="H30" s="83">
        <f>H29/((1+C31)^H3)</f>
        <v>7107.4740643809746</v>
      </c>
      <c r="I30" s="83">
        <f>I29/((1+D31)^I3)</f>
        <v>12743.702617321429</v>
      </c>
      <c r="J30" s="83">
        <f>J29/((1+E31)^J3)</f>
        <v>20304.526335790746</v>
      </c>
      <c r="K30" s="83">
        <f>K29/((1+F31)^K3)</f>
        <v>34809.050056394539</v>
      </c>
      <c r="L30" s="100">
        <f>(L29/(B31-K40))/((1+B31)*K3)</f>
        <v>-41596.52093305852</v>
      </c>
    </row>
    <row r="31" spans="2:12">
      <c r="B31" s="133">
        <f>WACC!C14</f>
        <v>6.6769160877497444E-2</v>
      </c>
      <c r="C31" s="83"/>
      <c r="D31" s="83"/>
      <c r="E31" s="83"/>
      <c r="F31" s="83"/>
      <c r="G31" s="83"/>
      <c r="H31" s="83"/>
      <c r="I31" s="83"/>
      <c r="J31" s="83"/>
      <c r="K31" s="83"/>
      <c r="L31" s="15"/>
    </row>
    <row r="32" spans="2:12">
      <c r="B32" s="51" t="s">
        <v>432</v>
      </c>
      <c r="C32" s="100">
        <f>SUM(G30:L30)</f>
        <v>37644.737121088634</v>
      </c>
      <c r="D32" s="83"/>
      <c r="E32" s="83"/>
      <c r="F32" s="83"/>
      <c r="G32" s="83"/>
      <c r="H32" s="83"/>
      <c r="I32" s="83"/>
      <c r="J32" s="83"/>
      <c r="K32" s="83"/>
    </row>
    <row r="33" spans="2:13">
      <c r="B33" s="1"/>
      <c r="C33" s="83"/>
      <c r="D33" s="83"/>
      <c r="E33" s="83"/>
      <c r="F33" s="83"/>
      <c r="G33" s="83"/>
      <c r="H33" s="83"/>
      <c r="I33" s="83"/>
      <c r="J33" s="83"/>
      <c r="K33" s="83"/>
    </row>
    <row r="34" spans="2:13">
      <c r="B34" s="1"/>
      <c r="C34" s="83"/>
      <c r="D34" s="83"/>
      <c r="E34" s="83"/>
      <c r="F34" s="83"/>
      <c r="G34" s="83"/>
      <c r="H34" s="83"/>
      <c r="I34" s="83"/>
      <c r="J34" s="83"/>
      <c r="K34" s="83"/>
    </row>
    <row r="35" spans="2:13">
      <c r="B35" s="1"/>
      <c r="C35" s="83"/>
      <c r="D35" s="83"/>
      <c r="E35" s="83"/>
      <c r="F35" s="83"/>
      <c r="G35" s="83"/>
      <c r="H35" s="83"/>
      <c r="I35" s="83"/>
      <c r="J35" s="83"/>
      <c r="K35" s="83"/>
    </row>
    <row r="36" spans="2:13">
      <c r="B36" s="3"/>
      <c r="C36" s="128">
        <f>C4</f>
        <v>2021</v>
      </c>
      <c r="D36" s="128">
        <f t="shared" ref="D36:K36" si="41">D4</f>
        <v>2022</v>
      </c>
      <c r="E36" s="128">
        <f t="shared" si="41"/>
        <v>2023</v>
      </c>
      <c r="F36" s="128">
        <f t="shared" si="41"/>
        <v>2024</v>
      </c>
      <c r="G36" s="85">
        <f t="shared" si="41"/>
        <v>2025</v>
      </c>
      <c r="H36" s="85">
        <f t="shared" si="41"/>
        <v>2026</v>
      </c>
      <c r="I36" s="85">
        <f t="shared" si="41"/>
        <v>2027</v>
      </c>
      <c r="J36" s="85">
        <f t="shared" si="41"/>
        <v>2028</v>
      </c>
      <c r="K36" s="85">
        <f t="shared" si="41"/>
        <v>2029</v>
      </c>
      <c r="L36" s="3"/>
      <c r="M36" s="3"/>
    </row>
    <row r="37" spans="2:13">
      <c r="B37" t="s">
        <v>348</v>
      </c>
      <c r="C37" s="59">
        <f t="shared" ref="C37:K37" si="42">C22*(1-C19)</f>
        <v>8035.8905624404188</v>
      </c>
      <c r="D37" s="59">
        <f t="shared" si="42"/>
        <v>8891.6147883124631</v>
      </c>
      <c r="E37" s="59">
        <f t="shared" si="42"/>
        <v>10038.929581772307</v>
      </c>
      <c r="F37" s="59">
        <f t="shared" si="42"/>
        <v>10337.358537477148</v>
      </c>
      <c r="G37" s="59">
        <f t="shared" si="42"/>
        <v>13692.779941224033</v>
      </c>
      <c r="H37" s="59">
        <f t="shared" si="42"/>
        <v>17290.208996120855</v>
      </c>
      <c r="I37" s="59">
        <f t="shared" si="42"/>
        <v>22446.525660059135</v>
      </c>
      <c r="J37" s="59">
        <f t="shared" si="42"/>
        <v>29428.503337610957</v>
      </c>
      <c r="K37" s="59">
        <f t="shared" si="42"/>
        <v>39106.002167034865</v>
      </c>
    </row>
    <row r="38" spans="2:13">
      <c r="B38" t="s">
        <v>346</v>
      </c>
      <c r="C38" s="125">
        <f t="shared" ref="C38:K38" si="43">C27/C37</f>
        <v>5.6403207146508549</v>
      </c>
      <c r="D38" s="125">
        <f t="shared" si="43"/>
        <v>4.3074290679284977E-2</v>
      </c>
      <c r="E38" s="125">
        <f t="shared" si="43"/>
        <v>6.5445224478206873E-2</v>
      </c>
      <c r="F38" s="125">
        <f t="shared" si="43"/>
        <v>1.1696411569904619</v>
      </c>
      <c r="G38" s="125">
        <f t="shared" si="43"/>
        <v>0.99542581577694544</v>
      </c>
      <c r="H38" s="125">
        <f t="shared" si="43"/>
        <v>0.91752798892629872</v>
      </c>
      <c r="I38" s="125">
        <f t="shared" si="43"/>
        <v>0.7608612005846308</v>
      </c>
      <c r="J38" s="125">
        <f t="shared" si="43"/>
        <v>0.63863605717059002</v>
      </c>
      <c r="K38" s="125">
        <f t="shared" si="43"/>
        <v>0.4384768923595691</v>
      </c>
    </row>
    <row r="39" spans="2:13">
      <c r="B39" t="s">
        <v>347</v>
      </c>
      <c r="C39" s="60">
        <f>C59</f>
        <v>0.17230719305359304</v>
      </c>
      <c r="D39" s="60">
        <f t="shared" ref="D39:K39" si="44">D59</f>
        <v>0.18241829161751355</v>
      </c>
      <c r="E39" s="60">
        <f t="shared" si="44"/>
        <v>0.19810809452129902</v>
      </c>
      <c r="F39" s="60">
        <f t="shared" si="44"/>
        <v>0.19980205144143856</v>
      </c>
      <c r="G39" s="60">
        <f t="shared" si="44"/>
        <v>0.2639317939164742</v>
      </c>
      <c r="H39" s="60">
        <f t="shared" si="44"/>
        <v>0.32502743213283858</v>
      </c>
      <c r="I39" s="60">
        <f t="shared" si="44"/>
        <v>0.40881223843328596</v>
      </c>
      <c r="J39" s="60">
        <f t="shared" si="44"/>
        <v>0.51492208244092508</v>
      </c>
      <c r="K39" s="60">
        <f t="shared" si="44"/>
        <v>0.65025508226126916</v>
      </c>
    </row>
    <row r="40" spans="2:13">
      <c r="B40" t="s">
        <v>422</v>
      </c>
      <c r="C40" s="60">
        <f>PRODUCT(C38:C39)</f>
        <v>0.97186783026352475</v>
      </c>
      <c r="D40" s="60">
        <f t="shared" ref="D40:F40" si="45">PRODUCT(D38:D39)</f>
        <v>7.8575385183513521E-3</v>
      </c>
      <c r="E40" s="60">
        <f t="shared" si="45"/>
        <v>1.2965228716896239E-2</v>
      </c>
      <c r="F40" s="60">
        <f t="shared" si="45"/>
        <v>0.23369670261703199</v>
      </c>
      <c r="G40" s="60">
        <f t="shared" ref="G40" si="46">PRODUCT(G38:G39)</f>
        <v>0.26272452126877899</v>
      </c>
      <c r="H40" s="60">
        <f t="shared" ref="H40" si="47">PRODUCT(H38:H39)</f>
        <v>0.29822176615072243</v>
      </c>
      <c r="I40" s="60">
        <f t="shared" ref="I40" si="48">PRODUCT(I38:I39)</f>
        <v>0.31104937054804033</v>
      </c>
      <c r="J40" s="60">
        <f t="shared" ref="J40" si="49">PRODUCT(J38:J39)</f>
        <v>0.32884780848014189</v>
      </c>
      <c r="K40" s="60">
        <f t="shared" ref="K40" si="50">PRODUCT(K38:K39)</f>
        <v>0.28512182771093725</v>
      </c>
    </row>
    <row r="43" spans="2:13">
      <c r="B43" s="1" t="s">
        <v>427</v>
      </c>
    </row>
    <row r="44" spans="2:13">
      <c r="C44" s="1">
        <v>2020</v>
      </c>
      <c r="D44" s="1">
        <f>C44+1</f>
        <v>2021</v>
      </c>
      <c r="E44" s="1">
        <f t="shared" ref="E44:M44" si="51">D44+1</f>
        <v>2022</v>
      </c>
      <c r="F44" s="1">
        <f t="shared" si="51"/>
        <v>2023</v>
      </c>
      <c r="G44" s="1">
        <f t="shared" si="51"/>
        <v>2024</v>
      </c>
      <c r="H44" s="1">
        <f t="shared" si="51"/>
        <v>2025</v>
      </c>
      <c r="I44" s="1">
        <f t="shared" si="51"/>
        <v>2026</v>
      </c>
      <c r="J44" s="1">
        <f t="shared" si="51"/>
        <v>2027</v>
      </c>
      <c r="K44" s="1">
        <f t="shared" si="51"/>
        <v>2028</v>
      </c>
      <c r="L44" s="1">
        <f t="shared" si="51"/>
        <v>2029</v>
      </c>
      <c r="M44" s="1">
        <f t="shared" si="51"/>
        <v>2030</v>
      </c>
    </row>
    <row r="45" spans="2:13">
      <c r="B45" s="127" t="s">
        <v>428</v>
      </c>
      <c r="C45" s="126">
        <f>-BS!F51+BS!F53</f>
        <v>5643</v>
      </c>
      <c r="D45" s="126">
        <f>-BS!E51+BS!E53</f>
        <v>6636</v>
      </c>
      <c r="E45" s="126">
        <f>-BS!D51+BS!D53</f>
        <v>7519</v>
      </c>
      <c r="F45" s="126">
        <f>-BS!C51+BS!C53</f>
        <v>8816</v>
      </c>
      <c r="G45" s="126">
        <f>-BS!B1+BS!B53</f>
        <v>15786</v>
      </c>
      <c r="H45" s="127"/>
      <c r="I45" s="127"/>
      <c r="J45" s="127"/>
      <c r="K45" s="127"/>
      <c r="L45" s="127"/>
      <c r="M45" s="127"/>
    </row>
    <row r="46" spans="2:13">
      <c r="B46" t="s">
        <v>429</v>
      </c>
      <c r="C46" s="61">
        <f>BS!F57</f>
        <v>9104</v>
      </c>
      <c r="D46" s="61">
        <f>BS!E57</f>
        <v>10577</v>
      </c>
      <c r="E46" s="61">
        <f>BS!D57</f>
        <v>10659</v>
      </c>
      <c r="F46" s="61">
        <f>BS!C57</f>
        <v>11334</v>
      </c>
      <c r="G46" s="61">
        <f>BS!J57</f>
        <v>6652</v>
      </c>
    </row>
    <row r="47" spans="2:13">
      <c r="B47" t="s">
        <v>430</v>
      </c>
      <c r="C47" s="61">
        <f>C45-C46</f>
        <v>-3461</v>
      </c>
      <c r="D47" s="61">
        <f t="shared" ref="D47:M47" si="52">D45-D46</f>
        <v>-3941</v>
      </c>
      <c r="E47" s="61">
        <f t="shared" si="52"/>
        <v>-3140</v>
      </c>
      <c r="F47" s="61">
        <f t="shared" si="52"/>
        <v>-2518</v>
      </c>
      <c r="G47" s="61">
        <f t="shared" si="52"/>
        <v>9134</v>
      </c>
      <c r="H47" s="61">
        <f t="shared" si="52"/>
        <v>0</v>
      </c>
      <c r="I47" s="61">
        <f t="shared" si="52"/>
        <v>0</v>
      </c>
      <c r="J47" s="61">
        <f t="shared" si="52"/>
        <v>0</v>
      </c>
      <c r="K47" s="61">
        <f t="shared" si="52"/>
        <v>0</v>
      </c>
      <c r="L47" s="61">
        <f t="shared" si="52"/>
        <v>0</v>
      </c>
      <c r="M47" s="61">
        <f t="shared" si="52"/>
        <v>0</v>
      </c>
    </row>
    <row r="48" spans="2:13">
      <c r="B48" t="s">
        <v>343</v>
      </c>
      <c r="D48" s="61">
        <f>D47-C47</f>
        <v>-480</v>
      </c>
      <c r="E48" s="61">
        <f t="shared" ref="E48:G48" si="53">E47-D47</f>
        <v>801</v>
      </c>
      <c r="F48" s="61">
        <f t="shared" si="53"/>
        <v>622</v>
      </c>
      <c r="G48" s="61">
        <f t="shared" si="53"/>
        <v>11652</v>
      </c>
      <c r="H48" s="61">
        <f t="shared" ref="H48:M48" si="54">H49*G5</f>
        <v>2164.8966432471288</v>
      </c>
      <c r="I48" s="61">
        <f t="shared" si="54"/>
        <v>4406.2506883261658</v>
      </c>
      <c r="J48" s="61">
        <f t="shared" si="54"/>
        <v>5626.5029626663163</v>
      </c>
      <c r="K48" s="61">
        <f t="shared" si="54"/>
        <v>7347.9314649634116</v>
      </c>
      <c r="L48" s="61">
        <f t="shared" si="54"/>
        <v>5691.6759590580214</v>
      </c>
      <c r="M48" s="61">
        <f t="shared" si="54"/>
        <v>6871.2327722452956</v>
      </c>
    </row>
    <row r="49" spans="2:15">
      <c r="B49" t="s">
        <v>435</v>
      </c>
      <c r="D49" s="60">
        <f>D47/C5</f>
        <v>-8.6976672331221999E-2</v>
      </c>
      <c r="E49" s="60">
        <f>E48/D5</f>
        <v>1.5913064208518755E-2</v>
      </c>
      <c r="F49" s="60">
        <f>F48/E5</f>
        <v>1.0695738900161639E-2</v>
      </c>
      <c r="G49" s="60">
        <f>G48/F5</f>
        <v>0.19557226539552527</v>
      </c>
      <c r="H49" s="67">
        <f>AVERAGE(D49:G49)</f>
        <v>3.3801099043245922E-2</v>
      </c>
      <c r="I49" s="67">
        <f t="shared" ref="I49:M49" si="55">AVERAGE(E49:H49)</f>
        <v>6.3995541886862892E-2</v>
      </c>
      <c r="J49" s="67">
        <f t="shared" si="55"/>
        <v>7.6016161306448934E-2</v>
      </c>
      <c r="K49" s="67">
        <f t="shared" si="55"/>
        <v>9.2346266908020766E-2</v>
      </c>
      <c r="L49" s="67">
        <f t="shared" si="55"/>
        <v>6.6539767286144635E-2</v>
      </c>
      <c r="M49" s="67">
        <f t="shared" si="55"/>
        <v>7.4724434346869303E-2</v>
      </c>
    </row>
    <row r="52" spans="2:15">
      <c r="B52" s="1" t="s">
        <v>436</v>
      </c>
    </row>
    <row r="53" spans="2:15">
      <c r="C53" s="128">
        <v>2021</v>
      </c>
      <c r="D53" s="128">
        <f>C53+1</f>
        <v>2022</v>
      </c>
      <c r="E53" s="128">
        <f t="shared" ref="E53:K53" si="56">D53+1</f>
        <v>2023</v>
      </c>
      <c r="F53" s="128">
        <f t="shared" si="56"/>
        <v>2024</v>
      </c>
      <c r="G53" s="128">
        <f t="shared" si="56"/>
        <v>2025</v>
      </c>
      <c r="H53" s="128">
        <f t="shared" si="56"/>
        <v>2026</v>
      </c>
      <c r="I53" s="128">
        <f t="shared" si="56"/>
        <v>2027</v>
      </c>
      <c r="J53" s="128">
        <f t="shared" si="56"/>
        <v>2028</v>
      </c>
      <c r="K53" s="128">
        <f t="shared" si="56"/>
        <v>2029</v>
      </c>
      <c r="L53" s="1"/>
      <c r="M53" s="1"/>
    </row>
    <row r="54" spans="2:15">
      <c r="B54" t="s">
        <v>437</v>
      </c>
      <c r="C54" s="117">
        <f>BS!E11</f>
        <v>943</v>
      </c>
      <c r="D54" s="117">
        <f>BS!D11</f>
        <v>971</v>
      </c>
      <c r="E54" s="117">
        <f>BS!C11</f>
        <v>1039</v>
      </c>
      <c r="F54" s="117">
        <f>BS!B11</f>
        <v>1374</v>
      </c>
      <c r="G54" s="117">
        <f>AVERAGE(C54:F54)</f>
        <v>1081.75</v>
      </c>
      <c r="H54" s="117">
        <f>G54</f>
        <v>1081.75</v>
      </c>
      <c r="I54" s="117">
        <f t="shared" ref="I54:K54" si="57">H54</f>
        <v>1081.75</v>
      </c>
      <c r="J54" s="117">
        <f t="shared" si="57"/>
        <v>1081.75</v>
      </c>
      <c r="K54" s="117">
        <f t="shared" si="57"/>
        <v>1081.75</v>
      </c>
    </row>
    <row r="55" spans="2:15">
      <c r="B55" t="s">
        <v>438</v>
      </c>
      <c r="C55" s="117">
        <f>BS!E8</f>
        <v>47434</v>
      </c>
      <c r="D55" s="117">
        <f>BS!D8</f>
        <v>48760</v>
      </c>
      <c r="E55" s="117">
        <f>BS!C8</f>
        <v>50221</v>
      </c>
      <c r="F55" s="117">
        <f>BS!B8</f>
        <v>50973</v>
      </c>
      <c r="G55" s="117">
        <f>G66</f>
        <v>51778.994213798091</v>
      </c>
      <c r="H55" s="117">
        <f t="shared" ref="H55:K55" si="58">H66</f>
        <v>53095.152960573352</v>
      </c>
      <c r="I55" s="117">
        <f t="shared" si="58"/>
        <v>54805.687104285847</v>
      </c>
      <c r="J55" s="117">
        <f t="shared" si="58"/>
        <v>57050.371714549001</v>
      </c>
      <c r="K55" s="117">
        <f t="shared" si="58"/>
        <v>60038.479465571138</v>
      </c>
    </row>
    <row r="56" spans="2:15">
      <c r="B56" t="s">
        <v>439</v>
      </c>
      <c r="C56" s="117">
        <f>CFS!E9</f>
        <v>1740</v>
      </c>
      <c r="D56" s="117">
        <f>CFS!D9</f>
        <v>988</v>
      </c>
      <c r="E56" s="117">
        <f>CFS!C9</f>
        <v>586</v>
      </c>
      <c r="F56" s="117">
        <f>CFS!B9</f>
        <v>609</v>
      </c>
      <c r="G56" s="117">
        <f>AVERAGE(C56:F56)</f>
        <v>980.75</v>
      </c>
      <c r="H56" s="117">
        <f>G56</f>
        <v>980.75</v>
      </c>
      <c r="I56" s="117">
        <f t="shared" ref="I56:K56" si="59">H56</f>
        <v>980.75</v>
      </c>
      <c r="J56" s="117">
        <f t="shared" si="59"/>
        <v>980.75</v>
      </c>
      <c r="K56" s="117">
        <f t="shared" si="59"/>
        <v>980.75</v>
      </c>
    </row>
    <row r="57" spans="2:15">
      <c r="B57" t="s">
        <v>440</v>
      </c>
      <c r="C57" s="117">
        <f>C54+C55-C56</f>
        <v>46637</v>
      </c>
      <c r="D57" s="117">
        <f t="shared" ref="D57:K57" si="60">D54+D55-D56</f>
        <v>48743</v>
      </c>
      <c r="E57" s="117">
        <f t="shared" si="60"/>
        <v>50674</v>
      </c>
      <c r="F57" s="117">
        <f t="shared" si="60"/>
        <v>51738</v>
      </c>
      <c r="G57" s="117">
        <f t="shared" si="60"/>
        <v>51879.994213798091</v>
      </c>
      <c r="H57" s="117">
        <f t="shared" si="60"/>
        <v>53196.152960573352</v>
      </c>
      <c r="I57" s="117">
        <f t="shared" si="60"/>
        <v>54906.687104285847</v>
      </c>
      <c r="J57" s="117">
        <f t="shared" si="60"/>
        <v>57151.371714549001</v>
      </c>
      <c r="K57" s="117">
        <f t="shared" si="60"/>
        <v>60139.479465571138</v>
      </c>
    </row>
    <row r="58" spans="2:15">
      <c r="B58" t="s">
        <v>348</v>
      </c>
      <c r="C58" s="117">
        <f>C15*(1-C19)</f>
        <v>8035.8905624404188</v>
      </c>
      <c r="D58" s="117">
        <f t="shared" ref="D58:K58" si="61">D15*(1-D19)</f>
        <v>8891.6147883124631</v>
      </c>
      <c r="E58" s="117">
        <f t="shared" si="61"/>
        <v>10038.929581772307</v>
      </c>
      <c r="F58" s="117">
        <f t="shared" si="61"/>
        <v>10337.358537477148</v>
      </c>
      <c r="G58" s="117">
        <f t="shared" si="61"/>
        <v>13692.779941224033</v>
      </c>
      <c r="H58" s="117">
        <f t="shared" si="61"/>
        <v>17290.208996120855</v>
      </c>
      <c r="I58" s="117">
        <f t="shared" si="61"/>
        <v>22446.525660059135</v>
      </c>
      <c r="J58" s="117">
        <f t="shared" si="61"/>
        <v>29428.503337610957</v>
      </c>
      <c r="K58" s="117">
        <f t="shared" si="61"/>
        <v>39106.002167034865</v>
      </c>
    </row>
    <row r="59" spans="2:15">
      <c r="B59" s="81" t="s">
        <v>347</v>
      </c>
      <c r="C59" s="132">
        <f>C58/C57</f>
        <v>0.17230719305359304</v>
      </c>
      <c r="D59" s="132">
        <f t="shared" ref="D59:K59" si="62">D58/D57</f>
        <v>0.18241829161751355</v>
      </c>
      <c r="E59" s="132">
        <f t="shared" si="62"/>
        <v>0.19810809452129902</v>
      </c>
      <c r="F59" s="132">
        <f t="shared" si="62"/>
        <v>0.19980205144143856</v>
      </c>
      <c r="G59" s="132">
        <f t="shared" si="62"/>
        <v>0.2639317939164742</v>
      </c>
      <c r="H59" s="132">
        <f t="shared" si="62"/>
        <v>0.32502743213283858</v>
      </c>
      <c r="I59" s="132">
        <f t="shared" si="62"/>
        <v>0.40881223843328596</v>
      </c>
      <c r="J59" s="132">
        <f t="shared" si="62"/>
        <v>0.51492208244092508</v>
      </c>
      <c r="K59" s="132">
        <f t="shared" si="62"/>
        <v>0.65025508226126916</v>
      </c>
    </row>
    <row r="62" spans="2:15">
      <c r="B62" s="1" t="s">
        <v>441</v>
      </c>
    </row>
    <row r="63" spans="2:15">
      <c r="C63" s="128">
        <v>2021</v>
      </c>
      <c r="D63" s="128">
        <f>C63+1</f>
        <v>2022</v>
      </c>
      <c r="E63" s="128">
        <f t="shared" ref="E63:K63" si="63">D63+1</f>
        <v>2023</v>
      </c>
      <c r="F63" s="128">
        <f t="shared" si="63"/>
        <v>2024</v>
      </c>
      <c r="G63" s="128">
        <f t="shared" si="63"/>
        <v>2025</v>
      </c>
      <c r="H63" s="128">
        <f t="shared" si="63"/>
        <v>2026</v>
      </c>
      <c r="I63" s="128">
        <f t="shared" si="63"/>
        <v>2027</v>
      </c>
      <c r="J63" s="128">
        <f t="shared" si="63"/>
        <v>2028</v>
      </c>
      <c r="K63" s="128">
        <f t="shared" si="63"/>
        <v>2029</v>
      </c>
    </row>
    <row r="64" spans="2:15">
      <c r="B64" t="s">
        <v>442</v>
      </c>
      <c r="C64" s="59">
        <f>C20/$C$69</f>
        <v>33.852570650323457</v>
      </c>
      <c r="D64" s="59">
        <f t="shared" ref="D64:K64" si="64">D20/$C$69</f>
        <v>37.529792305073201</v>
      </c>
      <c r="E64" s="59">
        <f t="shared" si="64"/>
        <v>42.398706162751104</v>
      </c>
      <c r="F64" s="59">
        <f t="shared" si="64"/>
        <v>43.045624787197816</v>
      </c>
      <c r="G64" s="59">
        <f t="shared" si="64"/>
        <v>57.789348814123287</v>
      </c>
      <c r="H64" s="59">
        <f t="shared" si="64"/>
        <v>73.064725916821715</v>
      </c>
      <c r="I64" s="59">
        <f t="shared" si="64"/>
        <v>94.957928660150785</v>
      </c>
      <c r="J64" s="59">
        <f t="shared" si="64"/>
        <v>124.61055037655728</v>
      </c>
      <c r="K64" s="59">
        <f t="shared" si="64"/>
        <v>165.88065411811823</v>
      </c>
      <c r="O64" s="61"/>
    </row>
    <row r="65" spans="2:11">
      <c r="B65" t="s">
        <v>443</v>
      </c>
      <c r="C65" s="124">
        <v>1.19</v>
      </c>
      <c r="D65" s="124">
        <v>0.9</v>
      </c>
      <c r="E65" s="124">
        <v>0.91</v>
      </c>
      <c r="F65" s="124">
        <v>0.96</v>
      </c>
      <c r="G65" s="75">
        <f>AVERAGE(D65:F65)</f>
        <v>0.92333333333333334</v>
      </c>
      <c r="H65" s="75">
        <f>G65</f>
        <v>0.92333333333333334</v>
      </c>
      <c r="I65" s="75">
        <f t="shared" ref="I65:K65" si="65">H65</f>
        <v>0.92333333333333334</v>
      </c>
      <c r="J65" s="75">
        <f t="shared" si="65"/>
        <v>0.92333333333333334</v>
      </c>
      <c r="K65" s="75">
        <f t="shared" si="65"/>
        <v>0.92333333333333334</v>
      </c>
    </row>
    <row r="66" spans="2:11">
      <c r="B66" t="s">
        <v>445</v>
      </c>
      <c r="C66" s="59">
        <f>BS!E5</f>
        <v>47199</v>
      </c>
      <c r="D66" s="59">
        <f>BS!D5</f>
        <v>48525</v>
      </c>
      <c r="E66" s="59">
        <f>BS!C5</f>
        <v>49986</v>
      </c>
      <c r="F66" s="59">
        <f>BS!B5</f>
        <v>50738</v>
      </c>
      <c r="G66" s="59">
        <f>F66+G20*(1-G65)</f>
        <v>51778.994213798091</v>
      </c>
      <c r="H66" s="59">
        <f t="shared" ref="H66:K66" si="66">G66+H20*(1-H65)</f>
        <v>53095.152960573352</v>
      </c>
      <c r="I66" s="59">
        <f t="shared" si="66"/>
        <v>54805.687104285847</v>
      </c>
      <c r="J66" s="59">
        <f t="shared" si="66"/>
        <v>57050.371714549001</v>
      </c>
      <c r="K66" s="59">
        <f t="shared" si="66"/>
        <v>60038.479465571138</v>
      </c>
    </row>
    <row r="69" spans="2:11">
      <c r="B69" s="1" t="s">
        <v>444</v>
      </c>
      <c r="C69" s="1">
        <v>234.96</v>
      </c>
    </row>
  </sheetData>
  <pageMargins left="0.7" right="0.7" top="0.75" bottom="0.75" header="0.3" footer="0.3"/>
  <ignoredErrors>
    <ignoredError sqref="G65"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A8E7F-ED4E-48D2-9D58-D6F79CBB93DE}">
  <dimension ref="A1:K66"/>
  <sheetViews>
    <sheetView topLeftCell="A9" workbookViewId="0">
      <selection sqref="A1:J1"/>
    </sheetView>
  </sheetViews>
  <sheetFormatPr defaultRowHeight="14.5"/>
  <sheetData>
    <row r="1" spans="1:11">
      <c r="A1" s="146" t="s">
        <v>349</v>
      </c>
      <c r="B1" s="147"/>
      <c r="C1" s="147"/>
      <c r="D1" s="147"/>
      <c r="E1" s="147"/>
      <c r="F1" s="147"/>
      <c r="G1" s="147"/>
      <c r="H1" s="147"/>
      <c r="I1" s="147"/>
      <c r="J1" s="148"/>
      <c r="K1" s="112"/>
    </row>
    <row r="2" spans="1:11">
      <c r="A2" s="108" t="s">
        <v>333</v>
      </c>
      <c r="B2" s="108">
        <v>202403</v>
      </c>
      <c r="C2" s="108">
        <v>202303</v>
      </c>
      <c r="D2" s="108">
        <v>202203</v>
      </c>
      <c r="E2" s="108">
        <v>202103</v>
      </c>
      <c r="F2" s="108">
        <v>202003</v>
      </c>
      <c r="G2" s="108">
        <v>201903</v>
      </c>
      <c r="H2" s="108">
        <v>201803</v>
      </c>
      <c r="I2" s="108">
        <v>201703</v>
      </c>
      <c r="J2" s="108">
        <v>201603</v>
      </c>
      <c r="K2" s="108">
        <v>201503</v>
      </c>
    </row>
    <row r="3" spans="1:11" ht="38.5">
      <c r="A3" s="110" t="s">
        <v>350</v>
      </c>
      <c r="B3" s="109"/>
      <c r="C3" s="109"/>
      <c r="D3" s="109"/>
      <c r="E3" s="109"/>
      <c r="F3" s="109"/>
      <c r="G3" s="109"/>
      <c r="H3" s="109"/>
      <c r="I3" s="109"/>
      <c r="J3" s="109"/>
      <c r="K3" s="109"/>
    </row>
    <row r="4" spans="1:11" ht="26">
      <c r="A4" s="110" t="s">
        <v>351</v>
      </c>
      <c r="B4" s="110">
        <v>235</v>
      </c>
      <c r="C4" s="110">
        <v>235</v>
      </c>
      <c r="D4" s="110">
        <v>235</v>
      </c>
      <c r="E4" s="110">
        <v>235</v>
      </c>
      <c r="F4" s="110">
        <v>216</v>
      </c>
      <c r="G4" s="110">
        <v>216</v>
      </c>
      <c r="H4" s="110">
        <v>216</v>
      </c>
      <c r="I4" s="110">
        <v>216</v>
      </c>
      <c r="J4" s="110">
        <v>216</v>
      </c>
      <c r="K4" s="110">
        <v>216.35</v>
      </c>
    </row>
    <row r="5" spans="1:11" ht="26">
      <c r="A5" s="110" t="s">
        <v>352</v>
      </c>
      <c r="B5" s="111">
        <v>50738</v>
      </c>
      <c r="C5" s="111">
        <v>49986</v>
      </c>
      <c r="D5" s="111">
        <v>48525</v>
      </c>
      <c r="E5" s="111">
        <v>47199</v>
      </c>
      <c r="F5" s="111">
        <v>7815</v>
      </c>
      <c r="G5" s="111">
        <v>7443</v>
      </c>
      <c r="H5" s="111">
        <v>6859</v>
      </c>
      <c r="I5" s="111">
        <v>6274</v>
      </c>
      <c r="J5" s="111">
        <v>6063</v>
      </c>
      <c r="K5" s="111">
        <v>3508.43</v>
      </c>
    </row>
    <row r="6" spans="1:11" ht="38.5">
      <c r="A6" s="110" t="s">
        <v>353</v>
      </c>
      <c r="B6" s="110">
        <v>0</v>
      </c>
      <c r="C6" s="110">
        <v>0</v>
      </c>
      <c r="D6" s="110">
        <v>0</v>
      </c>
      <c r="E6" s="110">
        <v>0</v>
      </c>
      <c r="F6" s="110">
        <v>0</v>
      </c>
      <c r="G6" s="110">
        <v>0</v>
      </c>
      <c r="H6" s="110">
        <v>0</v>
      </c>
      <c r="I6" s="110">
        <v>0</v>
      </c>
      <c r="J6" s="110">
        <v>0</v>
      </c>
      <c r="K6" s="110">
        <v>0</v>
      </c>
    </row>
    <row r="7" spans="1:11" ht="38.5">
      <c r="A7" s="110" t="s">
        <v>354</v>
      </c>
      <c r="B7" s="110">
        <v>0</v>
      </c>
      <c r="C7" s="110">
        <v>0</v>
      </c>
      <c r="D7" s="110">
        <v>0</v>
      </c>
      <c r="E7" s="110">
        <v>0</v>
      </c>
      <c r="F7" s="110">
        <v>0</v>
      </c>
      <c r="G7" s="110">
        <v>0</v>
      </c>
      <c r="H7" s="110">
        <v>0</v>
      </c>
      <c r="I7" s="110">
        <v>0</v>
      </c>
      <c r="J7" s="110">
        <v>0</v>
      </c>
      <c r="K7" s="110">
        <v>0</v>
      </c>
    </row>
    <row r="8" spans="1:11" ht="51">
      <c r="A8" s="110" t="s">
        <v>355</v>
      </c>
      <c r="B8" s="111">
        <v>50973</v>
      </c>
      <c r="C8" s="111">
        <v>50221</v>
      </c>
      <c r="D8" s="111">
        <v>48760</v>
      </c>
      <c r="E8" s="111">
        <v>47434</v>
      </c>
      <c r="F8" s="111">
        <v>8031</v>
      </c>
      <c r="G8" s="111">
        <v>7659</v>
      </c>
      <c r="H8" s="111">
        <v>7075</v>
      </c>
      <c r="I8" s="111">
        <v>6490</v>
      </c>
      <c r="J8" s="111">
        <v>6279</v>
      </c>
      <c r="K8" s="111">
        <v>3724.78</v>
      </c>
    </row>
    <row r="9" spans="1:11" ht="26">
      <c r="A9" s="110" t="s">
        <v>356</v>
      </c>
      <c r="B9" s="110">
        <v>0</v>
      </c>
      <c r="C9" s="110">
        <v>0</v>
      </c>
      <c r="D9" s="110">
        <v>0</v>
      </c>
      <c r="E9" s="110">
        <v>0</v>
      </c>
      <c r="F9" s="110">
        <v>0</v>
      </c>
      <c r="G9" s="110">
        <v>0</v>
      </c>
      <c r="H9" s="110">
        <v>0</v>
      </c>
      <c r="I9" s="110">
        <v>0</v>
      </c>
      <c r="J9" s="110">
        <v>0</v>
      </c>
      <c r="K9" s="110">
        <v>0</v>
      </c>
    </row>
    <row r="10" spans="1:11" ht="26">
      <c r="A10" s="110" t="s">
        <v>357</v>
      </c>
      <c r="B10" s="111">
        <v>1374</v>
      </c>
      <c r="C10" s="111">
        <v>1039</v>
      </c>
      <c r="D10" s="110">
        <v>971</v>
      </c>
      <c r="E10" s="110">
        <v>943</v>
      </c>
      <c r="F10" s="110">
        <v>0</v>
      </c>
      <c r="G10" s="110">
        <v>0</v>
      </c>
      <c r="H10" s="110">
        <v>0</v>
      </c>
      <c r="I10" s="110">
        <v>0</v>
      </c>
      <c r="J10" s="110">
        <v>0</v>
      </c>
      <c r="K10" s="110">
        <v>0</v>
      </c>
    </row>
    <row r="11" spans="1:11" ht="26">
      <c r="A11" s="110" t="s">
        <v>280</v>
      </c>
      <c r="B11" s="111">
        <v>1374</v>
      </c>
      <c r="C11" s="111">
        <v>1039</v>
      </c>
      <c r="D11" s="110">
        <v>971</v>
      </c>
      <c r="E11" s="110">
        <v>943</v>
      </c>
      <c r="F11" s="110">
        <v>0</v>
      </c>
      <c r="G11" s="110">
        <v>0</v>
      </c>
      <c r="H11" s="110">
        <v>0</v>
      </c>
      <c r="I11" s="110">
        <v>0</v>
      </c>
      <c r="J11" s="110">
        <v>0</v>
      </c>
      <c r="K11" s="110">
        <v>0</v>
      </c>
    </row>
    <row r="12" spans="1:11" ht="26">
      <c r="A12" s="110" t="s">
        <v>358</v>
      </c>
      <c r="B12" s="111">
        <v>6212</v>
      </c>
      <c r="C12" s="111">
        <v>2906</v>
      </c>
      <c r="D12" s="111">
        <v>3206</v>
      </c>
      <c r="E12" s="111">
        <v>3176</v>
      </c>
      <c r="F12" s="111">
        <v>2467</v>
      </c>
      <c r="G12" s="111">
        <v>1853</v>
      </c>
      <c r="H12" s="111">
        <v>1438</v>
      </c>
      <c r="I12" s="111">
        <v>1059</v>
      </c>
      <c r="J12" s="110">
        <v>989</v>
      </c>
      <c r="K12" s="111">
        <v>1126.46</v>
      </c>
    </row>
    <row r="13" spans="1:11" ht="26">
      <c r="A13" s="110" t="s">
        <v>359</v>
      </c>
      <c r="B13" s="111">
        <v>58559</v>
      </c>
      <c r="C13" s="111">
        <v>54166</v>
      </c>
      <c r="D13" s="111">
        <v>52937</v>
      </c>
      <c r="E13" s="111">
        <v>51553</v>
      </c>
      <c r="F13" s="111">
        <v>10498</v>
      </c>
      <c r="G13" s="111">
        <v>9512</v>
      </c>
      <c r="H13" s="111">
        <v>8513</v>
      </c>
      <c r="I13" s="111">
        <v>7549</v>
      </c>
      <c r="J13" s="111">
        <v>7268</v>
      </c>
      <c r="K13" s="111">
        <v>4851.24</v>
      </c>
    </row>
    <row r="14" spans="1:11" ht="38.5">
      <c r="A14" s="110" t="s">
        <v>360</v>
      </c>
      <c r="B14" s="109"/>
      <c r="C14" s="109"/>
      <c r="D14" s="109"/>
      <c r="E14" s="109"/>
      <c r="F14" s="109"/>
      <c r="G14" s="109"/>
      <c r="H14" s="109"/>
      <c r="I14" s="109"/>
      <c r="J14" s="109"/>
      <c r="K14" s="109"/>
    </row>
    <row r="15" spans="1:11" ht="26">
      <c r="A15" s="110" t="s">
        <v>361</v>
      </c>
      <c r="B15" s="111">
        <v>57400</v>
      </c>
      <c r="C15" s="111">
        <v>55864</v>
      </c>
      <c r="D15" s="111">
        <v>54799</v>
      </c>
      <c r="E15" s="111">
        <v>54192</v>
      </c>
      <c r="F15" s="111">
        <v>7375</v>
      </c>
      <c r="G15" s="111">
        <v>5959</v>
      </c>
      <c r="H15" s="111">
        <v>5267</v>
      </c>
      <c r="I15" s="111">
        <v>4712</v>
      </c>
      <c r="J15" s="111">
        <v>3218</v>
      </c>
      <c r="K15" s="111">
        <v>4721.3599999999997</v>
      </c>
    </row>
    <row r="16" spans="1:11">
      <c r="A16" s="110" t="s">
        <v>362</v>
      </c>
      <c r="B16" s="110">
        <v>17316</v>
      </c>
      <c r="C16" s="110">
        <v>17316</v>
      </c>
      <c r="D16" s="110">
        <v>17316</v>
      </c>
      <c r="E16" s="110">
        <v>17316</v>
      </c>
      <c r="F16" s="110">
        <v>36</v>
      </c>
      <c r="G16" s="110">
        <v>36</v>
      </c>
      <c r="H16" s="110">
        <v>0</v>
      </c>
      <c r="I16" s="110">
        <v>0</v>
      </c>
      <c r="J16" s="110">
        <v>0</v>
      </c>
      <c r="K16" s="110">
        <v>11.82</v>
      </c>
    </row>
    <row r="17" spans="1:11">
      <c r="A17" s="110" t="s">
        <v>363</v>
      </c>
      <c r="B17" s="110">
        <v>27800</v>
      </c>
      <c r="C17" s="110">
        <v>27800</v>
      </c>
      <c r="D17" s="110">
        <v>27800</v>
      </c>
      <c r="E17" s="110">
        <v>27800</v>
      </c>
      <c r="F17" s="110">
        <v>329</v>
      </c>
      <c r="G17" s="110">
        <v>329</v>
      </c>
      <c r="H17" s="110">
        <v>315</v>
      </c>
      <c r="I17" s="110">
        <v>315</v>
      </c>
      <c r="J17" s="110">
        <v>4</v>
      </c>
      <c r="K17" s="110">
        <v>159.85</v>
      </c>
    </row>
    <row r="18" spans="1:11" ht="38.5">
      <c r="A18" s="110" t="s">
        <v>364</v>
      </c>
      <c r="B18" s="110">
        <v>65</v>
      </c>
      <c r="C18" s="110">
        <v>65</v>
      </c>
      <c r="D18" s="110">
        <v>65</v>
      </c>
      <c r="E18" s="110">
        <v>65</v>
      </c>
      <c r="F18" s="110">
        <v>65</v>
      </c>
      <c r="G18" s="110">
        <v>65</v>
      </c>
      <c r="H18" s="110">
        <v>59</v>
      </c>
      <c r="I18" s="110">
        <v>59</v>
      </c>
      <c r="J18" s="110">
        <v>0</v>
      </c>
      <c r="K18" s="110">
        <v>0</v>
      </c>
    </row>
    <row r="19" spans="1:11" ht="26">
      <c r="A19" s="110" t="s">
        <v>365</v>
      </c>
      <c r="B19" s="110">
        <v>119</v>
      </c>
      <c r="C19" s="110">
        <v>110</v>
      </c>
      <c r="D19" s="110">
        <v>0</v>
      </c>
      <c r="E19" s="110">
        <v>0</v>
      </c>
      <c r="F19" s="110">
        <v>0</v>
      </c>
      <c r="G19" s="110">
        <v>27</v>
      </c>
      <c r="H19" s="110">
        <v>27</v>
      </c>
      <c r="I19" s="110">
        <v>27</v>
      </c>
      <c r="J19" s="110">
        <v>27</v>
      </c>
      <c r="K19" s="110">
        <v>32.340000000000003</v>
      </c>
    </row>
    <row r="20" spans="1:11" ht="26">
      <c r="A20" s="110" t="s">
        <v>366</v>
      </c>
      <c r="B20" s="110">
        <v>476</v>
      </c>
      <c r="C20" s="110">
        <v>476</v>
      </c>
      <c r="D20" s="110">
        <v>477</v>
      </c>
      <c r="E20" s="110">
        <v>477</v>
      </c>
      <c r="F20" s="110">
        <v>59</v>
      </c>
      <c r="G20" s="110">
        <v>59</v>
      </c>
      <c r="H20" s="110">
        <v>58</v>
      </c>
      <c r="I20" s="110">
        <v>58</v>
      </c>
      <c r="J20" s="110">
        <v>58</v>
      </c>
      <c r="K20" s="110">
        <v>58.85</v>
      </c>
    </row>
    <row r="21" spans="1:11" ht="26">
      <c r="A21" s="110" t="s">
        <v>367</v>
      </c>
      <c r="B21" s="110">
        <v>0</v>
      </c>
      <c r="C21" s="110">
        <v>0</v>
      </c>
      <c r="D21" s="110">
        <v>0</v>
      </c>
      <c r="E21" s="110">
        <v>0</v>
      </c>
      <c r="F21" s="110">
        <v>0</v>
      </c>
      <c r="G21" s="110">
        <v>0</v>
      </c>
      <c r="H21" s="110">
        <v>0</v>
      </c>
      <c r="I21" s="110">
        <v>0</v>
      </c>
      <c r="J21" s="110">
        <v>0</v>
      </c>
      <c r="K21" s="110">
        <v>0.01</v>
      </c>
    </row>
    <row r="22" spans="1:11">
      <c r="A22" s="110" t="s">
        <v>368</v>
      </c>
      <c r="B22" s="110">
        <v>3100</v>
      </c>
      <c r="C22" s="110">
        <v>2701</v>
      </c>
      <c r="D22" s="110">
        <v>2562</v>
      </c>
      <c r="E22" s="110">
        <v>2386</v>
      </c>
      <c r="F22" s="110">
        <v>1870</v>
      </c>
      <c r="G22" s="110">
        <v>1434</v>
      </c>
      <c r="H22" s="110">
        <v>1273</v>
      </c>
      <c r="I22" s="110">
        <v>1145</v>
      </c>
      <c r="J22" s="110">
        <v>872</v>
      </c>
      <c r="K22" s="110">
        <v>1076.43</v>
      </c>
    </row>
    <row r="23" spans="1:11" ht="38.5">
      <c r="A23" s="110" t="s">
        <v>369</v>
      </c>
      <c r="B23" s="110">
        <v>0</v>
      </c>
      <c r="C23" s="110">
        <v>0</v>
      </c>
      <c r="D23" s="110">
        <v>0</v>
      </c>
      <c r="E23" s="110">
        <v>0</v>
      </c>
      <c r="F23" s="110">
        <v>0</v>
      </c>
      <c r="G23" s="110">
        <v>0</v>
      </c>
      <c r="H23" s="110">
        <v>0</v>
      </c>
      <c r="I23" s="110">
        <v>0</v>
      </c>
      <c r="J23" s="110">
        <v>0</v>
      </c>
      <c r="K23" s="110">
        <v>0</v>
      </c>
    </row>
    <row r="24" spans="1:11" ht="38.5">
      <c r="A24" s="110" t="s">
        <v>370</v>
      </c>
      <c r="B24" s="110">
        <v>0</v>
      </c>
      <c r="C24" s="110">
        <v>0</v>
      </c>
      <c r="D24" s="110">
        <v>0</v>
      </c>
      <c r="E24" s="110">
        <v>0</v>
      </c>
      <c r="F24" s="110">
        <v>0</v>
      </c>
      <c r="G24" s="110">
        <v>0</v>
      </c>
      <c r="H24" s="110">
        <v>0</v>
      </c>
      <c r="I24" s="110">
        <v>0</v>
      </c>
      <c r="J24" s="110">
        <v>0</v>
      </c>
      <c r="K24" s="110">
        <v>0</v>
      </c>
    </row>
    <row r="25" spans="1:11" ht="38.5">
      <c r="A25" s="110" t="s">
        <v>371</v>
      </c>
      <c r="B25" s="110">
        <v>7989</v>
      </c>
      <c r="C25" s="110">
        <v>6897</v>
      </c>
      <c r="D25" s="110">
        <v>6127</v>
      </c>
      <c r="E25" s="110">
        <v>5694</v>
      </c>
      <c r="F25" s="110">
        <v>4689</v>
      </c>
      <c r="G25" s="110">
        <v>3798</v>
      </c>
      <c r="H25" s="110">
        <v>3382</v>
      </c>
      <c r="I25" s="110">
        <v>2981</v>
      </c>
      <c r="J25" s="110">
        <v>2157</v>
      </c>
      <c r="K25" s="110">
        <v>3059.72</v>
      </c>
    </row>
    <row r="26" spans="1:11" ht="26">
      <c r="A26" s="110" t="s">
        <v>372</v>
      </c>
      <c r="B26" s="110">
        <v>0</v>
      </c>
      <c r="C26" s="110">
        <v>0</v>
      </c>
      <c r="D26" s="110">
        <v>0</v>
      </c>
      <c r="E26" s="110">
        <v>0</v>
      </c>
      <c r="F26" s="110">
        <v>0</v>
      </c>
      <c r="G26" s="110">
        <v>0</v>
      </c>
      <c r="H26" s="110">
        <v>0</v>
      </c>
      <c r="I26" s="110">
        <v>0</v>
      </c>
      <c r="J26" s="110">
        <v>0</v>
      </c>
      <c r="K26" s="110">
        <v>0</v>
      </c>
    </row>
    <row r="27" spans="1:11" ht="51">
      <c r="A27" s="110" t="s">
        <v>373</v>
      </c>
      <c r="B27" s="110">
        <v>0</v>
      </c>
      <c r="C27" s="110">
        <v>0</v>
      </c>
      <c r="D27" s="110">
        <v>0</v>
      </c>
      <c r="E27" s="110">
        <v>0</v>
      </c>
      <c r="F27" s="110">
        <v>0</v>
      </c>
      <c r="G27" s="110">
        <v>0</v>
      </c>
      <c r="H27" s="110">
        <v>0</v>
      </c>
      <c r="I27" s="110">
        <v>0</v>
      </c>
      <c r="J27" s="110">
        <v>0</v>
      </c>
      <c r="K27" s="110">
        <v>0</v>
      </c>
    </row>
    <row r="28" spans="1:11" ht="38.5">
      <c r="A28" s="110" t="s">
        <v>374</v>
      </c>
      <c r="B28" s="110">
        <v>0</v>
      </c>
      <c r="C28" s="110">
        <v>0</v>
      </c>
      <c r="D28" s="110">
        <v>0</v>
      </c>
      <c r="E28" s="110">
        <v>0</v>
      </c>
      <c r="F28" s="110">
        <v>0</v>
      </c>
      <c r="G28" s="110">
        <v>0</v>
      </c>
      <c r="H28" s="110">
        <v>0</v>
      </c>
      <c r="I28" s="110">
        <v>0</v>
      </c>
      <c r="J28" s="110">
        <v>0</v>
      </c>
      <c r="K28" s="110">
        <v>0</v>
      </c>
    </row>
    <row r="29" spans="1:11" ht="38.5">
      <c r="A29" s="110" t="s">
        <v>375</v>
      </c>
      <c r="B29" s="110">
        <v>144</v>
      </c>
      <c r="C29" s="110">
        <v>140</v>
      </c>
      <c r="D29" s="110">
        <v>134</v>
      </c>
      <c r="E29" s="110">
        <v>139</v>
      </c>
      <c r="F29" s="110">
        <v>133</v>
      </c>
      <c r="G29" s="110">
        <v>69</v>
      </c>
      <c r="H29" s="110">
        <v>58</v>
      </c>
      <c r="I29" s="110">
        <v>49</v>
      </c>
      <c r="J29" s="110">
        <v>43</v>
      </c>
      <c r="K29" s="110">
        <v>82.78</v>
      </c>
    </row>
    <row r="30" spans="1:11" ht="38.5">
      <c r="A30" s="110" t="s">
        <v>376</v>
      </c>
      <c r="B30" s="110">
        <v>193</v>
      </c>
      <c r="C30" s="110">
        <v>174</v>
      </c>
      <c r="D30" s="110">
        <v>173</v>
      </c>
      <c r="E30" s="110">
        <v>168</v>
      </c>
      <c r="F30" s="110">
        <v>131</v>
      </c>
      <c r="G30" s="110">
        <v>89</v>
      </c>
      <c r="H30" s="110">
        <v>70</v>
      </c>
      <c r="I30" s="110">
        <v>59</v>
      </c>
      <c r="J30" s="110">
        <v>38</v>
      </c>
      <c r="K30" s="110">
        <v>97.14</v>
      </c>
    </row>
    <row r="31" spans="1:11" ht="26">
      <c r="A31" s="110" t="s">
        <v>377</v>
      </c>
      <c r="B31" s="110">
        <v>0</v>
      </c>
      <c r="C31" s="110">
        <v>0</v>
      </c>
      <c r="D31" s="110">
        <v>0</v>
      </c>
      <c r="E31" s="110">
        <v>0</v>
      </c>
      <c r="F31" s="110">
        <v>0</v>
      </c>
      <c r="G31" s="110">
        <v>0</v>
      </c>
      <c r="H31" s="110">
        <v>0</v>
      </c>
      <c r="I31" s="110">
        <v>0</v>
      </c>
      <c r="J31" s="110">
        <v>0</v>
      </c>
      <c r="K31" s="110">
        <v>0</v>
      </c>
    </row>
    <row r="32" spans="1:11" ht="51">
      <c r="A32" s="110" t="s">
        <v>378</v>
      </c>
      <c r="B32" s="110">
        <v>0</v>
      </c>
      <c r="C32" s="110">
        <v>0</v>
      </c>
      <c r="D32" s="110">
        <v>0</v>
      </c>
      <c r="E32" s="110">
        <v>0</v>
      </c>
      <c r="F32" s="110">
        <v>0</v>
      </c>
      <c r="G32" s="110">
        <v>0</v>
      </c>
      <c r="H32" s="110">
        <v>0</v>
      </c>
      <c r="I32" s="110">
        <v>0</v>
      </c>
      <c r="J32" s="110">
        <v>0</v>
      </c>
      <c r="K32" s="110">
        <v>0</v>
      </c>
    </row>
    <row r="33" spans="1:11" ht="76">
      <c r="A33" s="110" t="s">
        <v>379</v>
      </c>
      <c r="B33" s="110">
        <v>0</v>
      </c>
      <c r="C33" s="110">
        <v>0</v>
      </c>
      <c r="D33" s="110">
        <v>0</v>
      </c>
      <c r="E33" s="110">
        <v>0</v>
      </c>
      <c r="F33" s="110">
        <v>0</v>
      </c>
      <c r="G33" s="110">
        <v>0</v>
      </c>
      <c r="H33" s="110">
        <v>0</v>
      </c>
      <c r="I33" s="110">
        <v>0</v>
      </c>
      <c r="J33" s="110">
        <v>0</v>
      </c>
      <c r="K33" s="110">
        <v>0</v>
      </c>
    </row>
    <row r="34" spans="1:11">
      <c r="A34" s="110" t="s">
        <v>380</v>
      </c>
      <c r="B34" s="110">
        <v>26</v>
      </c>
      <c r="C34" s="110">
        <v>22</v>
      </c>
      <c r="D34" s="110">
        <v>0</v>
      </c>
      <c r="E34" s="110">
        <v>0</v>
      </c>
      <c r="F34" s="110">
        <v>0</v>
      </c>
      <c r="G34" s="110">
        <v>0</v>
      </c>
      <c r="H34" s="110">
        <v>0</v>
      </c>
      <c r="I34" s="110">
        <v>0</v>
      </c>
      <c r="J34" s="110">
        <v>0</v>
      </c>
      <c r="K34" s="110">
        <v>1.33</v>
      </c>
    </row>
    <row r="35" spans="1:11" ht="76">
      <c r="A35" s="110" t="s">
        <v>381</v>
      </c>
      <c r="B35" s="110">
        <v>0</v>
      </c>
      <c r="C35" s="110">
        <v>0</v>
      </c>
      <c r="D35" s="110">
        <v>0</v>
      </c>
      <c r="E35" s="110">
        <v>0</v>
      </c>
      <c r="F35" s="110">
        <v>0</v>
      </c>
      <c r="G35" s="110">
        <v>0</v>
      </c>
      <c r="H35" s="110">
        <v>0</v>
      </c>
      <c r="I35" s="110">
        <v>0</v>
      </c>
      <c r="J35" s="110">
        <v>0</v>
      </c>
      <c r="K35" s="110">
        <v>0</v>
      </c>
    </row>
    <row r="36" spans="1:11" ht="26">
      <c r="A36" s="110" t="s">
        <v>382</v>
      </c>
      <c r="B36" s="110">
        <v>0</v>
      </c>
      <c r="C36" s="110">
        <v>0</v>
      </c>
      <c r="D36" s="110">
        <v>0</v>
      </c>
      <c r="E36" s="110">
        <v>0</v>
      </c>
      <c r="F36" s="110">
        <v>0</v>
      </c>
      <c r="G36" s="110">
        <v>0</v>
      </c>
      <c r="H36" s="110">
        <v>0</v>
      </c>
      <c r="I36" s="110">
        <v>0</v>
      </c>
      <c r="J36" s="110">
        <v>0</v>
      </c>
      <c r="K36" s="110">
        <v>0</v>
      </c>
    </row>
    <row r="37" spans="1:11" ht="51">
      <c r="A37" s="110" t="s">
        <v>383</v>
      </c>
      <c r="B37" s="110">
        <v>0</v>
      </c>
      <c r="C37" s="110">
        <v>0</v>
      </c>
      <c r="D37" s="110">
        <v>0</v>
      </c>
      <c r="E37" s="110">
        <v>0</v>
      </c>
      <c r="F37" s="110">
        <v>0</v>
      </c>
      <c r="G37" s="110">
        <v>0</v>
      </c>
      <c r="H37" s="110">
        <v>0</v>
      </c>
      <c r="I37" s="110">
        <v>0</v>
      </c>
      <c r="J37" s="110">
        <v>0</v>
      </c>
      <c r="K37" s="110">
        <v>0</v>
      </c>
    </row>
    <row r="38" spans="1:11" ht="51">
      <c r="A38" s="110" t="s">
        <v>384</v>
      </c>
      <c r="B38" s="110">
        <v>0</v>
      </c>
      <c r="C38" s="110">
        <v>0</v>
      </c>
      <c r="D38" s="110">
        <v>0</v>
      </c>
      <c r="E38" s="110">
        <v>0</v>
      </c>
      <c r="F38" s="110">
        <v>0</v>
      </c>
      <c r="G38" s="110">
        <v>0</v>
      </c>
      <c r="H38" s="110">
        <v>0</v>
      </c>
      <c r="I38" s="110">
        <v>0</v>
      </c>
      <c r="J38" s="110">
        <v>0</v>
      </c>
      <c r="K38" s="110">
        <v>0</v>
      </c>
    </row>
    <row r="39" spans="1:11" ht="38.5">
      <c r="A39" s="110" t="s">
        <v>385</v>
      </c>
      <c r="B39" s="110">
        <v>172</v>
      </c>
      <c r="C39" s="110">
        <v>163</v>
      </c>
      <c r="D39" s="110">
        <v>145</v>
      </c>
      <c r="E39" s="110">
        <v>147</v>
      </c>
      <c r="F39" s="110">
        <v>63</v>
      </c>
      <c r="G39" s="110">
        <v>53</v>
      </c>
      <c r="H39" s="110">
        <v>25</v>
      </c>
      <c r="I39" s="110">
        <v>19</v>
      </c>
      <c r="J39" s="110">
        <v>19</v>
      </c>
      <c r="K39" s="110">
        <v>141.09</v>
      </c>
    </row>
    <row r="40" spans="1:11" ht="63.5">
      <c r="A40" s="110" t="s">
        <v>386</v>
      </c>
      <c r="B40" s="111">
        <v>5021</v>
      </c>
      <c r="C40" s="111">
        <v>4459</v>
      </c>
      <c r="D40" s="111">
        <v>3765</v>
      </c>
      <c r="E40" s="111">
        <v>3165</v>
      </c>
      <c r="F40" s="111">
        <v>2319</v>
      </c>
      <c r="G40" s="111">
        <v>1616</v>
      </c>
      <c r="H40" s="111">
        <v>1125</v>
      </c>
      <c r="I40" s="110">
        <v>688</v>
      </c>
      <c r="J40" s="110">
        <v>304</v>
      </c>
      <c r="K40" s="111">
        <v>2263.83</v>
      </c>
    </row>
    <row r="41" spans="1:11" ht="38.5">
      <c r="A41" s="110" t="s">
        <v>387</v>
      </c>
      <c r="B41" s="110">
        <v>0</v>
      </c>
      <c r="C41" s="110">
        <v>0</v>
      </c>
      <c r="D41" s="110">
        <v>0</v>
      </c>
      <c r="E41" s="110">
        <v>0</v>
      </c>
      <c r="F41" s="110">
        <v>0</v>
      </c>
      <c r="G41" s="110">
        <v>0</v>
      </c>
      <c r="H41" s="110">
        <v>0</v>
      </c>
      <c r="I41" s="110">
        <v>0</v>
      </c>
      <c r="J41" s="110">
        <v>0</v>
      </c>
      <c r="K41" s="110">
        <v>0</v>
      </c>
    </row>
    <row r="42" spans="1:11" ht="26">
      <c r="A42" s="110" t="s">
        <v>388</v>
      </c>
      <c r="B42" s="111">
        <v>52379</v>
      </c>
      <c r="C42" s="111">
        <v>51405</v>
      </c>
      <c r="D42" s="111">
        <v>51034</v>
      </c>
      <c r="E42" s="111">
        <v>51027</v>
      </c>
      <c r="F42" s="111">
        <v>5056</v>
      </c>
      <c r="G42" s="111">
        <v>4343</v>
      </c>
      <c r="H42" s="111">
        <v>4142</v>
      </c>
      <c r="I42" s="111">
        <v>4024</v>
      </c>
      <c r="J42" s="111">
        <v>2914</v>
      </c>
      <c r="K42" s="111">
        <v>2457.5300000000002</v>
      </c>
    </row>
    <row r="43" spans="1:11" ht="38.5">
      <c r="A43" s="110" t="s">
        <v>389</v>
      </c>
      <c r="B43" s="110">
        <v>0</v>
      </c>
      <c r="C43" s="110">
        <v>0</v>
      </c>
      <c r="D43" s="110">
        <v>0</v>
      </c>
      <c r="E43" s="110">
        <v>0</v>
      </c>
      <c r="F43" s="110">
        <v>0</v>
      </c>
      <c r="G43" s="110">
        <v>0</v>
      </c>
      <c r="H43" s="110">
        <v>0</v>
      </c>
      <c r="I43" s="110">
        <v>0</v>
      </c>
      <c r="J43" s="110">
        <v>0</v>
      </c>
      <c r="K43" s="110">
        <v>0</v>
      </c>
    </row>
    <row r="44" spans="1:11" ht="38.5">
      <c r="A44" s="110" t="s">
        <v>390</v>
      </c>
      <c r="B44" s="110">
        <v>0</v>
      </c>
      <c r="C44" s="110">
        <v>0</v>
      </c>
      <c r="D44" s="110">
        <v>0</v>
      </c>
      <c r="E44" s="110">
        <v>0</v>
      </c>
      <c r="F44" s="110">
        <v>0</v>
      </c>
      <c r="G44" s="110">
        <v>0</v>
      </c>
      <c r="H44" s="110">
        <v>0</v>
      </c>
      <c r="I44" s="110">
        <v>0</v>
      </c>
      <c r="J44" s="110">
        <v>0</v>
      </c>
      <c r="K44" s="110">
        <v>0</v>
      </c>
    </row>
    <row r="45" spans="1:11" ht="38.5">
      <c r="A45" s="110" t="s">
        <v>391</v>
      </c>
      <c r="B45" s="110">
        <v>915</v>
      </c>
      <c r="C45" s="111">
        <v>1020</v>
      </c>
      <c r="D45" s="110">
        <v>901</v>
      </c>
      <c r="E45" s="110">
        <v>623</v>
      </c>
      <c r="F45" s="110">
        <v>513</v>
      </c>
      <c r="G45" s="110">
        <v>373</v>
      </c>
      <c r="H45" s="110">
        <v>430</v>
      </c>
      <c r="I45" s="110">
        <v>203</v>
      </c>
      <c r="J45" s="110">
        <v>386</v>
      </c>
      <c r="K45" s="110">
        <v>479.01</v>
      </c>
    </row>
    <row r="46" spans="1:11" ht="38.5">
      <c r="A46" s="110" t="s">
        <v>392</v>
      </c>
      <c r="B46" s="110">
        <v>0</v>
      </c>
      <c r="C46" s="110">
        <v>0</v>
      </c>
      <c r="D46" s="110">
        <v>0</v>
      </c>
      <c r="E46" s="110">
        <v>0</v>
      </c>
      <c r="F46" s="110">
        <v>0</v>
      </c>
      <c r="G46" s="110">
        <v>0</v>
      </c>
      <c r="H46" s="110">
        <v>0</v>
      </c>
      <c r="I46" s="110">
        <v>0</v>
      </c>
      <c r="J46" s="110">
        <v>0</v>
      </c>
      <c r="K46" s="110">
        <v>0</v>
      </c>
    </row>
    <row r="47" spans="1:11" ht="26">
      <c r="A47" s="110" t="s">
        <v>393</v>
      </c>
      <c r="B47" s="111">
        <v>5493</v>
      </c>
      <c r="C47" s="111">
        <v>3794</v>
      </c>
      <c r="D47" s="111">
        <v>4122</v>
      </c>
      <c r="E47" s="111">
        <v>2995</v>
      </c>
      <c r="F47" s="111">
        <v>1500</v>
      </c>
      <c r="G47" s="111">
        <v>2949</v>
      </c>
      <c r="H47" s="111">
        <v>3111</v>
      </c>
      <c r="I47" s="111">
        <v>3779</v>
      </c>
      <c r="J47" s="111">
        <v>2780</v>
      </c>
      <c r="K47" s="111">
        <v>3277.93</v>
      </c>
    </row>
    <row r="48" spans="1:11" ht="51">
      <c r="A48" s="110" t="s">
        <v>394</v>
      </c>
      <c r="B48" s="109"/>
      <c r="C48" s="109"/>
      <c r="D48" s="109"/>
      <c r="E48" s="109"/>
      <c r="F48" s="109"/>
      <c r="G48" s="109"/>
      <c r="H48" s="109"/>
      <c r="I48" s="109"/>
      <c r="J48" s="109"/>
      <c r="K48" s="109"/>
    </row>
    <row r="49" spans="1:11" ht="26">
      <c r="A49" s="110" t="s">
        <v>395</v>
      </c>
      <c r="B49" s="111">
        <v>3812</v>
      </c>
      <c r="C49" s="111">
        <v>4031</v>
      </c>
      <c r="D49" s="111">
        <v>3890</v>
      </c>
      <c r="E49" s="111">
        <v>3383</v>
      </c>
      <c r="F49" s="111">
        <v>2636</v>
      </c>
      <c r="G49" s="111">
        <v>2422</v>
      </c>
      <c r="H49" s="111">
        <v>2359</v>
      </c>
      <c r="I49" s="111">
        <v>2362</v>
      </c>
      <c r="J49" s="111">
        <v>2528</v>
      </c>
      <c r="K49" s="111">
        <v>2602.6799999999998</v>
      </c>
    </row>
    <row r="50" spans="1:11" ht="26">
      <c r="A50" s="110" t="s">
        <v>396</v>
      </c>
      <c r="B50" s="111">
        <v>2690</v>
      </c>
      <c r="C50" s="111">
        <v>2735</v>
      </c>
      <c r="D50" s="111">
        <v>1932</v>
      </c>
      <c r="E50" s="111">
        <v>1648</v>
      </c>
      <c r="F50" s="111">
        <v>1046</v>
      </c>
      <c r="G50" s="111">
        <v>1673</v>
      </c>
      <c r="H50" s="111">
        <v>1147</v>
      </c>
      <c r="I50" s="110">
        <v>928</v>
      </c>
      <c r="J50" s="111">
        <v>1064</v>
      </c>
      <c r="K50" s="110">
        <v>782.94</v>
      </c>
    </row>
    <row r="51" spans="1:11" ht="26">
      <c r="A51" s="110" t="s">
        <v>397</v>
      </c>
      <c r="B51" s="111">
        <v>7216</v>
      </c>
      <c r="C51" s="111">
        <v>4422</v>
      </c>
      <c r="D51" s="111">
        <v>3618</v>
      </c>
      <c r="E51" s="111">
        <v>4321</v>
      </c>
      <c r="F51" s="111">
        <v>5017</v>
      </c>
      <c r="G51" s="111">
        <v>3688</v>
      </c>
      <c r="H51" s="111">
        <v>3373</v>
      </c>
      <c r="I51" s="111">
        <v>1671</v>
      </c>
      <c r="J51" s="111">
        <v>2759</v>
      </c>
      <c r="K51" s="111">
        <v>2537.56</v>
      </c>
    </row>
    <row r="52" spans="1:11" ht="38.5">
      <c r="A52" s="110" t="s">
        <v>398</v>
      </c>
      <c r="B52" s="111">
        <v>2068</v>
      </c>
      <c r="C52" s="111">
        <v>2050</v>
      </c>
      <c r="D52" s="111">
        <v>1697</v>
      </c>
      <c r="E52" s="111">
        <v>1605</v>
      </c>
      <c r="F52" s="111">
        <v>1961</v>
      </c>
      <c r="G52" s="110">
        <v>898</v>
      </c>
      <c r="H52" s="111">
        <v>1405</v>
      </c>
      <c r="I52" s="110">
        <v>885</v>
      </c>
      <c r="J52" s="110">
        <v>740</v>
      </c>
      <c r="K52" s="110">
        <v>716.55</v>
      </c>
    </row>
    <row r="53" spans="1:11" ht="38.5">
      <c r="A53" s="110" t="s">
        <v>399</v>
      </c>
      <c r="B53" s="111">
        <v>15786</v>
      </c>
      <c r="C53" s="111">
        <v>13238</v>
      </c>
      <c r="D53" s="111">
        <v>11137</v>
      </c>
      <c r="E53" s="111">
        <v>10957</v>
      </c>
      <c r="F53" s="111">
        <v>10660</v>
      </c>
      <c r="G53" s="111">
        <v>8681</v>
      </c>
      <c r="H53" s="111">
        <v>8284</v>
      </c>
      <c r="I53" s="111">
        <v>5846</v>
      </c>
      <c r="J53" s="111">
        <v>7091</v>
      </c>
      <c r="K53" s="111">
        <v>6639.73</v>
      </c>
    </row>
    <row r="54" spans="1:11" ht="76">
      <c r="A54" s="110" t="s">
        <v>400</v>
      </c>
      <c r="B54" s="109"/>
      <c r="C54" s="109"/>
      <c r="D54" s="109"/>
      <c r="E54" s="109"/>
      <c r="F54" s="109"/>
      <c r="G54" s="109"/>
      <c r="H54" s="109"/>
      <c r="I54" s="109"/>
      <c r="J54" s="109"/>
      <c r="K54" s="109"/>
    </row>
    <row r="55" spans="1:11" ht="26">
      <c r="A55" s="110" t="s">
        <v>401</v>
      </c>
      <c r="B55" s="111">
        <v>11734</v>
      </c>
      <c r="C55" s="111">
        <v>10955</v>
      </c>
      <c r="D55" s="111">
        <v>10325</v>
      </c>
      <c r="E55" s="111">
        <v>10086</v>
      </c>
      <c r="F55" s="111">
        <v>8686</v>
      </c>
      <c r="G55" s="111">
        <v>7852</v>
      </c>
      <c r="H55" s="111">
        <v>7985</v>
      </c>
      <c r="I55" s="111">
        <v>6815</v>
      </c>
      <c r="J55" s="111">
        <v>6362</v>
      </c>
      <c r="K55" s="111">
        <v>6196.95</v>
      </c>
    </row>
    <row r="56" spans="1:11" ht="26">
      <c r="A56" s="110" t="s">
        <v>402</v>
      </c>
      <c r="B56" s="110">
        <v>329</v>
      </c>
      <c r="C56" s="110">
        <v>379</v>
      </c>
      <c r="D56" s="110">
        <v>334</v>
      </c>
      <c r="E56" s="110">
        <v>491</v>
      </c>
      <c r="F56" s="110">
        <v>418</v>
      </c>
      <c r="G56" s="110">
        <v>501</v>
      </c>
      <c r="H56" s="110">
        <v>651</v>
      </c>
      <c r="I56" s="110">
        <v>387</v>
      </c>
      <c r="J56" s="110">
        <v>290</v>
      </c>
      <c r="K56" s="111">
        <v>2585.87</v>
      </c>
    </row>
    <row r="57" spans="1:11" ht="38.5">
      <c r="A57" s="110" t="s">
        <v>403</v>
      </c>
      <c r="B57" s="111">
        <v>12063</v>
      </c>
      <c r="C57" s="111">
        <v>11334</v>
      </c>
      <c r="D57" s="111">
        <v>10659</v>
      </c>
      <c r="E57" s="111">
        <v>10577</v>
      </c>
      <c r="F57" s="111">
        <v>9104</v>
      </c>
      <c r="G57" s="111">
        <v>8353</v>
      </c>
      <c r="H57" s="111">
        <v>8636</v>
      </c>
      <c r="I57" s="111">
        <v>7202</v>
      </c>
      <c r="J57" s="111">
        <v>6652</v>
      </c>
      <c r="K57" s="111">
        <v>8782.82</v>
      </c>
    </row>
    <row r="58" spans="1:11" ht="38.5">
      <c r="A58" s="110" t="s">
        <v>404</v>
      </c>
      <c r="B58" s="111">
        <v>3723</v>
      </c>
      <c r="C58" s="111">
        <v>1904</v>
      </c>
      <c r="D58" s="110">
        <v>478</v>
      </c>
      <c r="E58" s="110">
        <v>380</v>
      </c>
      <c r="F58" s="111">
        <v>1556</v>
      </c>
      <c r="G58" s="110">
        <v>328</v>
      </c>
      <c r="H58" s="110">
        <v>-352</v>
      </c>
      <c r="I58" s="111">
        <v>-1356</v>
      </c>
      <c r="J58" s="110">
        <v>439</v>
      </c>
      <c r="K58" s="111">
        <v>-2143.09</v>
      </c>
    </row>
    <row r="59" spans="1:11" ht="76">
      <c r="A59" s="110" t="s">
        <v>405</v>
      </c>
      <c r="B59" s="110">
        <v>0</v>
      </c>
      <c r="C59" s="110">
        <v>0</v>
      </c>
      <c r="D59" s="110">
        <v>0</v>
      </c>
      <c r="E59" s="110">
        <v>0</v>
      </c>
      <c r="F59" s="110">
        <v>0</v>
      </c>
      <c r="G59" s="110">
        <v>0</v>
      </c>
      <c r="H59" s="110">
        <v>0</v>
      </c>
      <c r="I59" s="110">
        <v>0</v>
      </c>
      <c r="J59" s="110">
        <v>0</v>
      </c>
      <c r="K59" s="110">
        <v>0</v>
      </c>
    </row>
    <row r="60" spans="1:11" ht="38.5">
      <c r="A60" s="110" t="s">
        <v>406</v>
      </c>
      <c r="B60" s="110">
        <v>480</v>
      </c>
      <c r="C60" s="110">
        <v>471</v>
      </c>
      <c r="D60" s="110">
        <v>477</v>
      </c>
      <c r="E60" s="110">
        <v>655</v>
      </c>
      <c r="F60" s="110">
        <v>534</v>
      </c>
      <c r="G60" s="110">
        <v>778</v>
      </c>
      <c r="H60" s="110">
        <v>653</v>
      </c>
      <c r="I60" s="110">
        <v>572</v>
      </c>
      <c r="J60" s="110">
        <v>510</v>
      </c>
      <c r="K60" s="110">
        <v>466.62</v>
      </c>
    </row>
    <row r="61" spans="1:11" ht="38.5">
      <c r="A61" s="110" t="s">
        <v>407</v>
      </c>
      <c r="B61" s="111">
        <v>6934</v>
      </c>
      <c r="C61" s="111">
        <v>6796</v>
      </c>
      <c r="D61" s="111">
        <v>6618</v>
      </c>
      <c r="E61" s="111">
        <v>6641</v>
      </c>
      <c r="F61" s="110">
        <v>273</v>
      </c>
      <c r="G61" s="110">
        <v>439</v>
      </c>
      <c r="H61" s="110">
        <v>398</v>
      </c>
      <c r="I61" s="110">
        <v>412</v>
      </c>
      <c r="J61" s="110">
        <v>342</v>
      </c>
      <c r="K61" s="110">
        <v>270.66000000000003</v>
      </c>
    </row>
    <row r="62" spans="1:11" ht="38.5">
      <c r="A62" s="110" t="s">
        <v>408</v>
      </c>
      <c r="B62" s="111">
        <v>-6454</v>
      </c>
      <c r="C62" s="111">
        <v>-6325</v>
      </c>
      <c r="D62" s="111">
        <v>-6141</v>
      </c>
      <c r="E62" s="111">
        <v>-5986</v>
      </c>
      <c r="F62" s="110">
        <v>261</v>
      </c>
      <c r="G62" s="110">
        <v>339</v>
      </c>
      <c r="H62" s="110">
        <v>255</v>
      </c>
      <c r="I62" s="110">
        <v>160</v>
      </c>
      <c r="J62" s="110">
        <v>168</v>
      </c>
      <c r="K62" s="110">
        <v>195.96</v>
      </c>
    </row>
    <row r="63" spans="1:11" ht="26">
      <c r="A63" s="110" t="s">
        <v>409</v>
      </c>
      <c r="B63" s="111">
        <v>2503</v>
      </c>
      <c r="C63" s="111">
        <v>2368</v>
      </c>
      <c r="D63" s="111">
        <v>2543</v>
      </c>
      <c r="E63" s="111">
        <v>2514</v>
      </c>
      <c r="F63" s="111">
        <v>1612</v>
      </c>
      <c r="G63" s="111">
        <v>1180</v>
      </c>
      <c r="H63" s="110">
        <v>927</v>
      </c>
      <c r="I63" s="110">
        <v>739</v>
      </c>
      <c r="J63" s="110">
        <v>581</v>
      </c>
      <c r="K63" s="110">
        <v>583.9</v>
      </c>
    </row>
    <row r="64" spans="1:11" ht="26">
      <c r="A64" s="110" t="s">
        <v>410</v>
      </c>
      <c r="B64" s="111">
        <v>58559</v>
      </c>
      <c r="C64" s="111">
        <v>54166</v>
      </c>
      <c r="D64" s="111">
        <v>52937</v>
      </c>
      <c r="E64" s="111">
        <v>51553</v>
      </c>
      <c r="F64" s="111">
        <v>10498</v>
      </c>
      <c r="G64" s="111">
        <v>9512</v>
      </c>
      <c r="H64" s="111">
        <v>8513</v>
      </c>
      <c r="I64" s="111">
        <v>7549</v>
      </c>
      <c r="J64" s="111">
        <v>7268</v>
      </c>
      <c r="K64" s="111">
        <v>4851.24</v>
      </c>
    </row>
    <row r="65" spans="1:11" ht="38.5">
      <c r="A65" s="110" t="s">
        <v>411</v>
      </c>
      <c r="B65" s="111">
        <v>2422</v>
      </c>
      <c r="C65" s="111">
        <v>2577</v>
      </c>
      <c r="D65" s="111">
        <v>2321</v>
      </c>
      <c r="E65" s="111">
        <v>2086</v>
      </c>
      <c r="F65" s="111">
        <v>2260</v>
      </c>
      <c r="G65" s="111">
        <v>1726</v>
      </c>
      <c r="H65" s="111">
        <v>1539</v>
      </c>
      <c r="I65" s="110">
        <v>987</v>
      </c>
      <c r="J65" s="111">
        <v>1026</v>
      </c>
      <c r="K65" s="110">
        <v>910.16</v>
      </c>
    </row>
    <row r="66" spans="1:11" ht="409.6">
      <c r="A66" s="110" t="s">
        <v>412</v>
      </c>
      <c r="B66" s="110" t="s">
        <v>413</v>
      </c>
      <c r="C66" s="113"/>
      <c r="D66" s="113"/>
      <c r="E66" s="113"/>
      <c r="F66" s="113"/>
      <c r="G66" s="113"/>
      <c r="H66" s="113"/>
      <c r="I66" s="113"/>
      <c r="J66" s="113"/>
      <c r="K66" s="114"/>
    </row>
  </sheetData>
  <mergeCells count="1">
    <mergeCell ref="A1:J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F283F-2355-4654-9F23-FC1524A30D82}">
  <dimension ref="A1:K10"/>
  <sheetViews>
    <sheetView workbookViewId="0">
      <selection activeCell="E4" sqref="E4"/>
    </sheetView>
  </sheetViews>
  <sheetFormatPr defaultRowHeight="14.5"/>
  <sheetData>
    <row r="1" spans="1:11">
      <c r="A1" s="146" t="s">
        <v>414</v>
      </c>
      <c r="B1" s="147"/>
      <c r="C1" s="147"/>
      <c r="D1" s="147"/>
      <c r="E1" s="147"/>
      <c r="F1" s="147"/>
      <c r="G1" s="147"/>
      <c r="H1" s="147"/>
      <c r="I1" s="147"/>
      <c r="J1" s="148"/>
      <c r="K1" s="112"/>
    </row>
    <row r="2" spans="1:11">
      <c r="A2" s="108" t="s">
        <v>333</v>
      </c>
      <c r="B2" s="108">
        <v>202403</v>
      </c>
      <c r="C2" s="108">
        <v>202303</v>
      </c>
      <c r="D2" s="108">
        <v>202203</v>
      </c>
      <c r="E2" s="108">
        <v>202103</v>
      </c>
      <c r="F2" s="108">
        <v>202003</v>
      </c>
      <c r="G2" s="108">
        <v>201903</v>
      </c>
      <c r="H2" s="108">
        <v>201803</v>
      </c>
      <c r="I2" s="108">
        <v>201703</v>
      </c>
      <c r="J2" s="108">
        <v>201603</v>
      </c>
      <c r="K2" s="108">
        <v>201503</v>
      </c>
    </row>
    <row r="3" spans="1:11" ht="38.5">
      <c r="A3" s="110" t="s">
        <v>415</v>
      </c>
      <c r="B3" s="109"/>
      <c r="C3" s="109"/>
      <c r="D3" s="109"/>
      <c r="E3" s="109"/>
      <c r="F3" s="109"/>
      <c r="G3" s="109"/>
      <c r="H3" s="109"/>
      <c r="I3" s="109"/>
      <c r="J3" s="109"/>
      <c r="K3" s="109"/>
    </row>
    <row r="4" spans="1:11" ht="88.5">
      <c r="A4" s="110" t="s">
        <v>416</v>
      </c>
      <c r="B4" s="110">
        <v>586</v>
      </c>
      <c r="C4" s="110">
        <v>988</v>
      </c>
      <c r="D4" s="111">
        <v>1740</v>
      </c>
      <c r="E4" s="111">
        <v>3130</v>
      </c>
      <c r="F4" s="110">
        <v>575</v>
      </c>
      <c r="G4" s="110">
        <v>573</v>
      </c>
      <c r="H4" s="110">
        <v>572</v>
      </c>
      <c r="I4" s="110">
        <v>635</v>
      </c>
      <c r="J4" s="110">
        <v>720</v>
      </c>
      <c r="K4" s="110">
        <v>620.61</v>
      </c>
    </row>
    <row r="5" spans="1:11" ht="51">
      <c r="A5" s="110" t="s">
        <v>417</v>
      </c>
      <c r="B5" s="111">
        <v>14884</v>
      </c>
      <c r="C5" s="111">
        <v>9626</v>
      </c>
      <c r="D5" s="111">
        <v>8964</v>
      </c>
      <c r="E5" s="111">
        <v>8957</v>
      </c>
      <c r="F5" s="111">
        <v>7305</v>
      </c>
      <c r="G5" s="111">
        <v>5728</v>
      </c>
      <c r="H5" s="111">
        <v>5913</v>
      </c>
      <c r="I5" s="111">
        <v>4953</v>
      </c>
      <c r="J5" s="111">
        <v>3974</v>
      </c>
      <c r="K5" s="111">
        <v>3271.9</v>
      </c>
    </row>
    <row r="6" spans="1:11" ht="51">
      <c r="A6" s="110" t="s">
        <v>418</v>
      </c>
      <c r="B6" s="111">
        <v>-4971</v>
      </c>
      <c r="C6" s="111">
        <v>-1062</v>
      </c>
      <c r="D6" s="111">
        <v>-1732</v>
      </c>
      <c r="E6" s="111">
        <v>-1067</v>
      </c>
      <c r="F6" s="111">
        <v>1926</v>
      </c>
      <c r="G6" s="110">
        <v>-264</v>
      </c>
      <c r="H6" s="111">
        <v>-1261</v>
      </c>
      <c r="I6" s="110">
        <v>-752</v>
      </c>
      <c r="J6" s="110">
        <v>-51</v>
      </c>
      <c r="K6" s="110">
        <v>279.89999999999998</v>
      </c>
    </row>
    <row r="7" spans="1:11" ht="51">
      <c r="A7" s="110" t="s">
        <v>419</v>
      </c>
      <c r="B7" s="111">
        <v>-9890</v>
      </c>
      <c r="C7" s="111">
        <v>-8966</v>
      </c>
      <c r="D7" s="111">
        <v>-7984</v>
      </c>
      <c r="E7" s="111">
        <v>-9280</v>
      </c>
      <c r="F7" s="111">
        <v>-6676</v>
      </c>
      <c r="G7" s="111">
        <v>-5462</v>
      </c>
      <c r="H7" s="111">
        <v>-4651</v>
      </c>
      <c r="I7" s="111">
        <v>-4264</v>
      </c>
      <c r="J7" s="111">
        <v>-4008</v>
      </c>
      <c r="K7" s="111">
        <v>-3450.44</v>
      </c>
    </row>
    <row r="8" spans="1:11" ht="76">
      <c r="A8" s="110" t="s">
        <v>420</v>
      </c>
      <c r="B8" s="110">
        <v>23</v>
      </c>
      <c r="C8" s="110">
        <v>-402</v>
      </c>
      <c r="D8" s="110">
        <v>-752</v>
      </c>
      <c r="E8" s="111">
        <v>-1390</v>
      </c>
      <c r="F8" s="111">
        <v>2555</v>
      </c>
      <c r="G8" s="110">
        <v>2</v>
      </c>
      <c r="H8" s="110">
        <v>1</v>
      </c>
      <c r="I8" s="110">
        <v>-63</v>
      </c>
      <c r="J8" s="110">
        <v>-85</v>
      </c>
      <c r="K8" s="110">
        <v>101.36</v>
      </c>
    </row>
    <row r="9" spans="1:11" ht="76">
      <c r="A9" s="110" t="s">
        <v>421</v>
      </c>
      <c r="B9" s="110">
        <v>609</v>
      </c>
      <c r="C9" s="110">
        <v>586</v>
      </c>
      <c r="D9" s="110">
        <v>988</v>
      </c>
      <c r="E9" s="111">
        <v>1740</v>
      </c>
      <c r="F9" s="111">
        <v>3130</v>
      </c>
      <c r="G9" s="110">
        <v>575</v>
      </c>
      <c r="H9" s="110">
        <v>573</v>
      </c>
      <c r="I9" s="110">
        <v>572</v>
      </c>
      <c r="J9" s="110">
        <v>635</v>
      </c>
      <c r="K9" s="110">
        <v>721.97</v>
      </c>
    </row>
    <row r="10" spans="1:11" ht="409.6">
      <c r="A10" s="110" t="s">
        <v>412</v>
      </c>
      <c r="B10" s="110" t="s">
        <v>413</v>
      </c>
      <c r="C10" s="113"/>
      <c r="D10" s="113"/>
      <c r="E10" s="113"/>
      <c r="F10" s="113"/>
      <c r="G10" s="113"/>
      <c r="H10" s="113"/>
      <c r="I10" s="113"/>
      <c r="J10" s="113"/>
      <c r="K10" s="114"/>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FFE7B-E90D-434D-80C3-E2E848ACA1B1}">
  <dimension ref="B3:I228"/>
  <sheetViews>
    <sheetView showGridLines="0" topLeftCell="A8" workbookViewId="0">
      <selection activeCell="E116" sqref="E116"/>
    </sheetView>
  </sheetViews>
  <sheetFormatPr defaultRowHeight="14.5"/>
  <cols>
    <col min="1" max="1" width="1.90625" customWidth="1"/>
    <col min="2" max="2" width="22.90625" customWidth="1"/>
    <col min="3" max="3" width="15.36328125" bestFit="1" customWidth="1"/>
    <col min="4" max="4" width="15.6328125" bestFit="1" customWidth="1"/>
    <col min="5" max="5" width="16.90625" bestFit="1" customWidth="1"/>
    <col min="6" max="6" width="15.08984375" bestFit="1" customWidth="1"/>
    <col min="7" max="7" width="10.453125" bestFit="1" customWidth="1"/>
    <col min="8" max="8" width="17.54296875" bestFit="1" customWidth="1"/>
  </cols>
  <sheetData>
    <row r="3" spans="2:9">
      <c r="B3" s="2" t="s">
        <v>0</v>
      </c>
      <c r="C3" s="3"/>
      <c r="D3" s="3"/>
      <c r="E3" s="3"/>
      <c r="F3" s="3"/>
      <c r="G3" s="3"/>
      <c r="H3" s="3"/>
      <c r="I3" s="3"/>
    </row>
    <row r="5" spans="2:9" ht="16.5">
      <c r="B5" s="134" t="s">
        <v>1</v>
      </c>
      <c r="C5" s="134"/>
      <c r="D5" s="1" t="s">
        <v>2</v>
      </c>
    </row>
    <row r="6" spans="2:9">
      <c r="B6" s="4"/>
      <c r="C6" s="4"/>
      <c r="D6" s="4"/>
      <c r="E6" s="4"/>
      <c r="F6" s="4"/>
      <c r="G6" s="4"/>
      <c r="H6" s="4"/>
      <c r="I6" s="4"/>
    </row>
    <row r="7" spans="2:9">
      <c r="B7" s="1" t="s">
        <v>3</v>
      </c>
    </row>
    <row r="8" spans="2:9">
      <c r="B8" s="5" t="s">
        <v>4</v>
      </c>
    </row>
    <row r="9" spans="2:9">
      <c r="B9" s="5" t="s">
        <v>5</v>
      </c>
    </row>
    <row r="11" spans="2:9">
      <c r="B11" s="136" t="s">
        <v>6</v>
      </c>
      <c r="C11" s="136"/>
      <c r="D11" s="16">
        <v>7.0389999999999994E-2</v>
      </c>
    </row>
    <row r="19" spans="2:9" ht="4.75" customHeight="1"/>
    <row r="20" spans="2:9">
      <c r="B20" s="6" t="s">
        <v>7</v>
      </c>
    </row>
    <row r="21" spans="2:9">
      <c r="B21" s="6"/>
    </row>
    <row r="22" spans="2:9">
      <c r="B22" s="1" t="str">
        <f>"Reasonsing behind not Taking "&amp;B11&amp;" as Risk Free Security"</f>
        <v>Reasonsing behind not Taking 10 Year Govt.  Bond Yield as Risk Free Security</v>
      </c>
    </row>
    <row r="23" spans="2:9">
      <c r="B23" s="135" t="s">
        <v>8</v>
      </c>
      <c r="C23" s="135"/>
      <c r="D23" s="135"/>
      <c r="E23" s="135"/>
      <c r="F23" s="135"/>
      <c r="G23" s="135"/>
      <c r="H23" s="135"/>
      <c r="I23" s="135"/>
    </row>
    <row r="24" spans="2:9">
      <c r="B24" s="135"/>
      <c r="C24" s="135"/>
      <c r="D24" s="135"/>
      <c r="E24" s="135"/>
      <c r="F24" s="135"/>
      <c r="G24" s="135"/>
      <c r="H24" s="135"/>
      <c r="I24" s="135"/>
    </row>
    <row r="25" spans="2:9">
      <c r="B25" s="135"/>
      <c r="C25" s="135"/>
      <c r="D25" s="135"/>
      <c r="E25" s="135"/>
      <c r="F25" s="135"/>
      <c r="G25" s="135"/>
      <c r="H25" s="135"/>
      <c r="I25" s="135"/>
    </row>
    <row r="27" spans="2:9">
      <c r="B27" s="1" t="s">
        <v>0</v>
      </c>
    </row>
    <row r="28" spans="2:9" ht="9.65" customHeight="1"/>
    <row r="29" spans="2:9">
      <c r="B29" s="15" t="s">
        <v>230</v>
      </c>
      <c r="C29" s="15"/>
    </row>
    <row r="31" spans="2:9">
      <c r="B31" s="17" t="s">
        <v>231</v>
      </c>
      <c r="C31" s="18" t="s">
        <v>116</v>
      </c>
    </row>
    <row r="32" spans="2:9">
      <c r="B32" s="17" t="str">
        <f>"Moody's Rating of "&amp;C31</f>
        <v>Moody's Rating of India</v>
      </c>
      <c r="C32" s="18" t="str">
        <f>INDEX(B38:H228,MATCH(C31,B38:B228,0),6)</f>
        <v>Baa3</v>
      </c>
    </row>
    <row r="33" spans="2:8">
      <c r="B33" s="17" t="str">
        <f>"Adj Default Spread of "&amp;C32</f>
        <v>Adj Default Spread of Baa3</v>
      </c>
      <c r="C33" s="19">
        <f>INDEX(B37:H228,MATCH(C32,G37:G228,0),2)</f>
        <v>2.3900000000000001E-2</v>
      </c>
    </row>
    <row r="34" spans="2:8">
      <c r="B34" s="17" t="s">
        <v>232</v>
      </c>
      <c r="C34" s="20">
        <f>D11</f>
        <v>7.0389999999999994E-2</v>
      </c>
    </row>
    <row r="35" spans="2:8" ht="15" thickBot="1">
      <c r="B35" s="21" t="s">
        <v>233</v>
      </c>
      <c r="C35" s="22">
        <f>C34-C33</f>
        <v>4.648999999999999E-2</v>
      </c>
    </row>
    <row r="37" spans="2:8">
      <c r="B37" s="7" t="s">
        <v>9</v>
      </c>
      <c r="C37" s="8" t="s">
        <v>10</v>
      </c>
      <c r="D37" s="8" t="s">
        <v>11</v>
      </c>
      <c r="E37" s="8" t="s">
        <v>12</v>
      </c>
      <c r="F37" s="8" t="s">
        <v>13</v>
      </c>
      <c r="G37" s="9" t="s">
        <v>14</v>
      </c>
      <c r="H37" s="8" t="s">
        <v>15</v>
      </c>
    </row>
    <row r="38" spans="2:8">
      <c r="B38" s="10" t="s">
        <v>16</v>
      </c>
      <c r="C38" s="11">
        <v>5.4000000000000003E-3</v>
      </c>
      <c r="D38" s="11">
        <v>5.3199999999999997E-2</v>
      </c>
      <c r="E38" s="11">
        <v>7.1999999999999998E-3</v>
      </c>
      <c r="F38" s="11">
        <v>0.15</v>
      </c>
      <c r="G38" s="12" t="s">
        <v>17</v>
      </c>
      <c r="H38" s="11">
        <v>7.4999999999999997E-3</v>
      </c>
    </row>
    <row r="39" spans="2:8">
      <c r="B39" s="10" t="s">
        <v>18</v>
      </c>
      <c r="C39" s="11">
        <v>4.9000000000000002E-2</v>
      </c>
      <c r="D39" s="11">
        <v>0.1118</v>
      </c>
      <c r="E39" s="11">
        <v>6.5799999999999997E-2</v>
      </c>
      <c r="F39" s="11">
        <v>0.15</v>
      </c>
      <c r="G39" s="12" t="s">
        <v>19</v>
      </c>
      <c r="H39" s="12" t="s">
        <v>20</v>
      </c>
    </row>
    <row r="40" spans="2:8">
      <c r="B40" s="13" t="s">
        <v>21</v>
      </c>
      <c r="C40" s="11">
        <v>4.9000000000000002E-2</v>
      </c>
      <c r="D40" s="11">
        <v>0.1118</v>
      </c>
      <c r="E40" s="11">
        <v>6.5799999999999997E-2</v>
      </c>
      <c r="F40" s="11">
        <v>0.26</v>
      </c>
      <c r="G40" s="12" t="s">
        <v>22</v>
      </c>
      <c r="H40" s="11">
        <v>1.7000000000000001E-2</v>
      </c>
    </row>
    <row r="41" spans="2:8">
      <c r="B41" s="10" t="s">
        <v>23</v>
      </c>
      <c r="C41" s="11">
        <v>2.07E-2</v>
      </c>
      <c r="D41" s="11">
        <v>7.3800000000000004E-2</v>
      </c>
      <c r="E41" s="11">
        <v>2.7799999999999998E-2</v>
      </c>
      <c r="F41" s="11">
        <v>0.1898</v>
      </c>
      <c r="G41" s="12" t="s">
        <v>24</v>
      </c>
      <c r="H41" s="12" t="s">
        <v>20</v>
      </c>
    </row>
    <row r="42" spans="2:8">
      <c r="B42" s="10" t="s">
        <v>25</v>
      </c>
      <c r="C42" s="11">
        <v>7.0800000000000002E-2</v>
      </c>
      <c r="D42" s="11">
        <v>0.1411</v>
      </c>
      <c r="E42" s="11">
        <v>9.5100000000000004E-2</v>
      </c>
      <c r="F42" s="11">
        <v>0.25</v>
      </c>
      <c r="G42" s="12" t="s">
        <v>26</v>
      </c>
      <c r="H42" s="11">
        <v>7.8200000000000006E-2</v>
      </c>
    </row>
    <row r="43" spans="2:8">
      <c r="B43" s="10" t="s">
        <v>27</v>
      </c>
      <c r="C43" s="11">
        <v>0.10539999999999999</v>
      </c>
      <c r="D43" s="11">
        <v>0.1875</v>
      </c>
      <c r="E43" s="11">
        <v>0.1875</v>
      </c>
      <c r="F43" s="11">
        <v>0.27250000000000002</v>
      </c>
      <c r="G43" s="12" t="s">
        <v>22</v>
      </c>
      <c r="H43" s="12" t="s">
        <v>20</v>
      </c>
    </row>
    <row r="44" spans="2:8">
      <c r="B44" s="10" t="s">
        <v>28</v>
      </c>
      <c r="C44" s="11">
        <v>0.10539999999999999</v>
      </c>
      <c r="D44" s="11">
        <v>0.1875</v>
      </c>
      <c r="E44" s="11">
        <v>0.1875</v>
      </c>
      <c r="F44" s="11">
        <v>0.27250000000000002</v>
      </c>
      <c r="G44" s="12" t="s">
        <v>22</v>
      </c>
      <c r="H44" s="12" t="s">
        <v>20</v>
      </c>
    </row>
    <row r="45" spans="2:8">
      <c r="B45" s="10" t="s">
        <v>29</v>
      </c>
      <c r="C45" s="11">
        <v>0.13070000000000001</v>
      </c>
      <c r="D45" s="11">
        <v>0.2215</v>
      </c>
      <c r="E45" s="11">
        <v>0.17549999999999999</v>
      </c>
      <c r="F45" s="11">
        <v>0.35</v>
      </c>
      <c r="G45" s="12" t="s">
        <v>30</v>
      </c>
      <c r="H45" s="11">
        <v>0.46189999999999998</v>
      </c>
    </row>
    <row r="46" spans="2:8">
      <c r="B46" s="10" t="s">
        <v>31</v>
      </c>
      <c r="C46" s="11">
        <v>3.9199999999999999E-2</v>
      </c>
      <c r="D46" s="11">
        <v>9.8599999999999993E-2</v>
      </c>
      <c r="E46" s="11">
        <v>5.2600000000000001E-2</v>
      </c>
      <c r="F46" s="11">
        <v>0.18</v>
      </c>
      <c r="G46" s="12" t="s">
        <v>32</v>
      </c>
      <c r="H46" s="12" t="s">
        <v>20</v>
      </c>
    </row>
    <row r="47" spans="2:8">
      <c r="B47" s="10" t="s">
        <v>33</v>
      </c>
      <c r="C47" s="11">
        <v>2.07E-2</v>
      </c>
      <c r="D47" s="11">
        <v>7.3800000000000004E-2</v>
      </c>
      <c r="E47" s="11">
        <v>2.7799999999999998E-2</v>
      </c>
      <c r="F47" s="11">
        <v>0.25</v>
      </c>
      <c r="G47" s="12" t="s">
        <v>24</v>
      </c>
      <c r="H47" s="12" t="s">
        <v>20</v>
      </c>
    </row>
    <row r="48" spans="2:8">
      <c r="B48" s="10" t="s">
        <v>34</v>
      </c>
      <c r="C48" s="11">
        <v>0</v>
      </c>
      <c r="D48" s="11">
        <v>4.5999999999999999E-2</v>
      </c>
      <c r="E48" s="11">
        <v>0</v>
      </c>
      <c r="F48" s="11">
        <v>0.3</v>
      </c>
      <c r="G48" s="12" t="s">
        <v>35</v>
      </c>
      <c r="H48" s="11">
        <v>2.5999999999999999E-3</v>
      </c>
    </row>
    <row r="49" spans="2:8">
      <c r="B49" s="10" t="s">
        <v>36</v>
      </c>
      <c r="C49" s="11">
        <v>4.4000000000000003E-3</v>
      </c>
      <c r="D49" s="11">
        <v>5.1799999999999999E-2</v>
      </c>
      <c r="E49" s="11">
        <v>5.7999999999999996E-3</v>
      </c>
      <c r="F49" s="11">
        <v>0.24</v>
      </c>
      <c r="G49" s="12" t="s">
        <v>37</v>
      </c>
      <c r="H49" s="11">
        <v>2.7000000000000001E-3</v>
      </c>
    </row>
    <row r="50" spans="2:8">
      <c r="B50" s="10" t="s">
        <v>38</v>
      </c>
      <c r="C50" s="11">
        <v>2.7300000000000001E-2</v>
      </c>
      <c r="D50" s="11">
        <v>8.2600000000000007E-2</v>
      </c>
      <c r="E50" s="11">
        <v>3.6600000000000001E-2</v>
      </c>
      <c r="F50" s="11">
        <v>0.2</v>
      </c>
      <c r="G50" s="12" t="s">
        <v>39</v>
      </c>
      <c r="H50" s="12" t="s">
        <v>20</v>
      </c>
    </row>
    <row r="51" spans="2:8">
      <c r="B51" s="10" t="s">
        <v>40</v>
      </c>
      <c r="C51" s="11">
        <v>4.9000000000000002E-2</v>
      </c>
      <c r="D51" s="11">
        <v>0.1118</v>
      </c>
      <c r="E51" s="11">
        <v>6.5799999999999997E-2</v>
      </c>
      <c r="F51" s="11">
        <v>0</v>
      </c>
      <c r="G51" s="12" t="s">
        <v>19</v>
      </c>
      <c r="H51" s="12" t="s">
        <v>20</v>
      </c>
    </row>
    <row r="52" spans="2:8">
      <c r="B52" s="10" t="s">
        <v>41</v>
      </c>
      <c r="C52" s="11">
        <v>5.9900000000000002E-2</v>
      </c>
      <c r="D52" s="11">
        <v>0.12640000000000001</v>
      </c>
      <c r="E52" s="11">
        <v>8.0399999999999999E-2</v>
      </c>
      <c r="F52" s="11">
        <v>0</v>
      </c>
      <c r="G52" s="12" t="s">
        <v>42</v>
      </c>
      <c r="H52" s="11">
        <v>2.7400000000000001E-2</v>
      </c>
    </row>
    <row r="53" spans="2:8">
      <c r="B53" s="10" t="s">
        <v>43</v>
      </c>
      <c r="C53" s="11">
        <v>4.9000000000000002E-2</v>
      </c>
      <c r="D53" s="11">
        <v>0.1118</v>
      </c>
      <c r="E53" s="11">
        <v>6.5799999999999997E-2</v>
      </c>
      <c r="F53" s="11">
        <v>0.3</v>
      </c>
      <c r="G53" s="12" t="s">
        <v>19</v>
      </c>
      <c r="H53" s="12" t="s">
        <v>20</v>
      </c>
    </row>
    <row r="54" spans="2:8">
      <c r="B54" s="10" t="s">
        <v>44</v>
      </c>
      <c r="C54" s="11">
        <v>7.0800000000000002E-2</v>
      </c>
      <c r="D54" s="11">
        <v>0.1411</v>
      </c>
      <c r="E54" s="11">
        <v>9.5100000000000004E-2</v>
      </c>
      <c r="F54" s="11">
        <v>5.5E-2</v>
      </c>
      <c r="G54" s="12" t="s">
        <v>26</v>
      </c>
      <c r="H54" s="12" t="s">
        <v>20</v>
      </c>
    </row>
    <row r="55" spans="2:8">
      <c r="B55" s="10" t="s">
        <v>45</v>
      </c>
      <c r="C55" s="11">
        <v>0.17499999999999999</v>
      </c>
      <c r="D55" s="11">
        <v>0.28089999999999998</v>
      </c>
      <c r="E55" s="11">
        <v>0.2349</v>
      </c>
      <c r="F55" s="11">
        <v>0.18</v>
      </c>
      <c r="G55" s="12" t="s">
        <v>46</v>
      </c>
      <c r="H55" s="12" t="s">
        <v>20</v>
      </c>
    </row>
    <row r="56" spans="2:8">
      <c r="B56" s="10" t="s">
        <v>47</v>
      </c>
      <c r="C56" s="11">
        <v>6.4999999999999997E-3</v>
      </c>
      <c r="D56" s="11">
        <v>5.4800000000000001E-2</v>
      </c>
      <c r="E56" s="11">
        <v>8.8000000000000005E-3</v>
      </c>
      <c r="F56" s="11">
        <v>0.25</v>
      </c>
      <c r="G56" s="12" t="s">
        <v>48</v>
      </c>
      <c r="H56" s="11">
        <v>3.3E-3</v>
      </c>
    </row>
    <row r="57" spans="2:8">
      <c r="B57" s="10" t="s">
        <v>49</v>
      </c>
      <c r="C57" s="11">
        <v>9.8100000000000007E-2</v>
      </c>
      <c r="D57" s="11">
        <v>0.1777</v>
      </c>
      <c r="E57" s="11">
        <v>0.13170000000000001</v>
      </c>
      <c r="F57" s="11">
        <v>0.2853</v>
      </c>
      <c r="G57" s="12" t="s">
        <v>50</v>
      </c>
      <c r="H57" s="12" t="s">
        <v>20</v>
      </c>
    </row>
    <row r="58" spans="2:8">
      <c r="B58" s="10" t="s">
        <v>51</v>
      </c>
      <c r="C58" s="11">
        <v>4.9000000000000002E-2</v>
      </c>
      <c r="D58" s="11">
        <v>0.1118</v>
      </c>
      <c r="E58" s="11">
        <v>6.5799999999999997E-2</v>
      </c>
      <c r="F58" s="11">
        <v>0.3</v>
      </c>
      <c r="G58" s="12" t="s">
        <v>19</v>
      </c>
      <c r="H58" s="12" t="s">
        <v>20</v>
      </c>
    </row>
    <row r="59" spans="2:8">
      <c r="B59" s="10" t="s">
        <v>52</v>
      </c>
      <c r="C59" s="11">
        <v>9.1999999999999998E-3</v>
      </c>
      <c r="D59" s="11">
        <v>5.8400000000000001E-2</v>
      </c>
      <c r="E59" s="11">
        <v>1.24E-2</v>
      </c>
      <c r="F59" s="11">
        <v>0</v>
      </c>
      <c r="G59" s="12" t="s">
        <v>53</v>
      </c>
      <c r="H59" s="12" t="s">
        <v>20</v>
      </c>
    </row>
    <row r="60" spans="2:8">
      <c r="B60" s="10" t="s">
        <v>54</v>
      </c>
      <c r="C60" s="11">
        <v>8.1699999999999995E-2</v>
      </c>
      <c r="D60" s="11">
        <v>0.15570000000000001</v>
      </c>
      <c r="E60" s="11">
        <v>0.10970000000000001</v>
      </c>
      <c r="F60" s="11">
        <v>0.25</v>
      </c>
      <c r="G60" s="12" t="s">
        <v>55</v>
      </c>
      <c r="H60" s="12" t="s">
        <v>20</v>
      </c>
    </row>
    <row r="61" spans="2:8">
      <c r="B61" s="10" t="s">
        <v>56</v>
      </c>
      <c r="C61" s="11">
        <v>7.0800000000000002E-2</v>
      </c>
      <c r="D61" s="11">
        <v>0.1411</v>
      </c>
      <c r="E61" s="11">
        <v>9.5100000000000004E-2</v>
      </c>
      <c r="F61" s="11">
        <v>0.1</v>
      </c>
      <c r="G61" s="12" t="s">
        <v>26</v>
      </c>
      <c r="H61" s="12" t="s">
        <v>20</v>
      </c>
    </row>
    <row r="62" spans="2:8">
      <c r="B62" s="10" t="s">
        <v>57</v>
      </c>
      <c r="C62" s="11">
        <v>1.3100000000000001E-2</v>
      </c>
      <c r="D62" s="11">
        <v>6.3500000000000001E-2</v>
      </c>
      <c r="E62" s="11">
        <v>1.7500000000000002E-2</v>
      </c>
      <c r="F62" s="11">
        <v>0.22</v>
      </c>
      <c r="G62" s="12" t="s">
        <v>58</v>
      </c>
      <c r="H62" s="12" t="s">
        <v>20</v>
      </c>
    </row>
    <row r="63" spans="2:8">
      <c r="B63" s="10" t="s">
        <v>59</v>
      </c>
      <c r="C63" s="11">
        <v>3.2800000000000003E-2</v>
      </c>
      <c r="D63" s="11">
        <v>0.09</v>
      </c>
      <c r="E63" s="11">
        <v>4.3999999999999997E-2</v>
      </c>
      <c r="F63" s="11">
        <v>0.34</v>
      </c>
      <c r="G63" s="12" t="s">
        <v>60</v>
      </c>
      <c r="H63" s="11">
        <v>2.3900000000000001E-2</v>
      </c>
    </row>
    <row r="64" spans="2:8">
      <c r="B64" s="10" t="s">
        <v>61</v>
      </c>
      <c r="C64" s="11">
        <v>3.2800000000000003E-2</v>
      </c>
      <c r="D64" s="11">
        <v>0.09</v>
      </c>
      <c r="E64" s="11">
        <v>4.3999999999999997E-2</v>
      </c>
      <c r="F64" s="11">
        <v>0.34</v>
      </c>
      <c r="G64" s="12" t="s">
        <v>60</v>
      </c>
      <c r="H64" s="12" t="s">
        <v>20</v>
      </c>
    </row>
    <row r="65" spans="2:8">
      <c r="B65" s="13" t="s">
        <v>62</v>
      </c>
      <c r="C65" s="11">
        <v>6.4999999999999997E-3</v>
      </c>
      <c r="D65" s="11">
        <v>5.4800000000000001E-2</v>
      </c>
      <c r="E65" s="11">
        <v>8.8000000000000005E-3</v>
      </c>
      <c r="F65" s="11">
        <v>0.185</v>
      </c>
      <c r="G65" s="12" t="s">
        <v>22</v>
      </c>
      <c r="H65" s="12" t="s">
        <v>20</v>
      </c>
    </row>
    <row r="66" spans="2:8">
      <c r="B66" s="10" t="s">
        <v>63</v>
      </c>
      <c r="C66" s="11">
        <v>1.7399999999999999E-2</v>
      </c>
      <c r="D66" s="11">
        <v>6.9400000000000003E-2</v>
      </c>
      <c r="E66" s="11">
        <v>2.3400000000000001E-2</v>
      </c>
      <c r="F66" s="11">
        <v>0.1</v>
      </c>
      <c r="G66" s="12" t="s">
        <v>64</v>
      </c>
      <c r="H66" s="11">
        <v>1.47E-2</v>
      </c>
    </row>
    <row r="67" spans="2:8">
      <c r="B67" s="10" t="s">
        <v>65</v>
      </c>
      <c r="C67" s="11">
        <v>8.1699999999999995E-2</v>
      </c>
      <c r="D67" s="11">
        <v>0.15570000000000001</v>
      </c>
      <c r="E67" s="11">
        <v>0.10970000000000001</v>
      </c>
      <c r="F67" s="11">
        <v>0.28000000000000003</v>
      </c>
      <c r="G67" s="12" t="s">
        <v>55</v>
      </c>
      <c r="H67" s="12" t="s">
        <v>20</v>
      </c>
    </row>
    <row r="68" spans="2:8">
      <c r="B68" s="10" t="s">
        <v>66</v>
      </c>
      <c r="C68" s="11">
        <v>5.9900000000000002E-2</v>
      </c>
      <c r="D68" s="11">
        <v>0.12640000000000001</v>
      </c>
      <c r="E68" s="11">
        <v>8.0399999999999999E-2</v>
      </c>
      <c r="F68" s="11">
        <v>0.2</v>
      </c>
      <c r="G68" s="12" t="s">
        <v>42</v>
      </c>
      <c r="H68" s="12" t="s">
        <v>20</v>
      </c>
    </row>
    <row r="69" spans="2:8">
      <c r="B69" s="10" t="s">
        <v>67</v>
      </c>
      <c r="C69" s="11">
        <v>8.1699999999999995E-2</v>
      </c>
      <c r="D69" s="11">
        <v>0.15570000000000001</v>
      </c>
      <c r="E69" s="11">
        <v>0.10970000000000001</v>
      </c>
      <c r="F69" s="11">
        <v>0.33</v>
      </c>
      <c r="G69" s="12" t="s">
        <v>55</v>
      </c>
      <c r="H69" s="11">
        <v>9.1399999999999995E-2</v>
      </c>
    </row>
    <row r="70" spans="2:8">
      <c r="B70" s="10" t="s">
        <v>68</v>
      </c>
      <c r="C70" s="11">
        <v>0</v>
      </c>
      <c r="D70" s="11">
        <v>4.5999999999999999E-2</v>
      </c>
      <c r="E70" s="11">
        <v>0</v>
      </c>
      <c r="F70" s="11">
        <v>0.26500000000000001</v>
      </c>
      <c r="G70" s="12" t="s">
        <v>35</v>
      </c>
      <c r="H70" s="11">
        <v>4.4000000000000003E-3</v>
      </c>
    </row>
    <row r="71" spans="2:8">
      <c r="B71" s="10" t="s">
        <v>69</v>
      </c>
      <c r="C71" s="11">
        <v>7.0800000000000002E-2</v>
      </c>
      <c r="D71" s="11">
        <v>0.1411</v>
      </c>
      <c r="E71" s="11">
        <v>9.5100000000000004E-2</v>
      </c>
      <c r="F71" s="11">
        <v>0</v>
      </c>
      <c r="G71" s="12" t="s">
        <v>26</v>
      </c>
      <c r="H71" s="12" t="s">
        <v>20</v>
      </c>
    </row>
    <row r="72" spans="2:8">
      <c r="B72" s="10" t="s">
        <v>70</v>
      </c>
      <c r="C72" s="11">
        <v>6.4999999999999997E-3</v>
      </c>
      <c r="D72" s="11">
        <v>5.4800000000000001E-2</v>
      </c>
      <c r="E72" s="11">
        <v>8.8000000000000005E-3</v>
      </c>
      <c r="F72" s="11">
        <v>0</v>
      </c>
      <c r="G72" s="12" t="s">
        <v>48</v>
      </c>
      <c r="H72" s="12" t="s">
        <v>20</v>
      </c>
    </row>
    <row r="73" spans="2:8">
      <c r="B73" s="10" t="s">
        <v>71</v>
      </c>
      <c r="C73" s="11">
        <v>9.5999999999999992E-3</v>
      </c>
      <c r="D73" s="11">
        <v>5.8900000000000001E-2</v>
      </c>
      <c r="E73" s="11">
        <v>5.8900000000000001E-2</v>
      </c>
      <c r="F73" s="11">
        <v>0.24709999999999999</v>
      </c>
      <c r="G73" s="12" t="s">
        <v>22</v>
      </c>
      <c r="H73" s="12" t="s">
        <v>20</v>
      </c>
    </row>
    <row r="74" spans="2:8">
      <c r="B74" s="10" t="s">
        <v>72</v>
      </c>
      <c r="C74" s="11">
        <v>9.1999999999999998E-3</v>
      </c>
      <c r="D74" s="11">
        <v>5.8400000000000001E-2</v>
      </c>
      <c r="E74" s="11">
        <v>1.24E-2</v>
      </c>
      <c r="F74" s="11">
        <v>0.27</v>
      </c>
      <c r="G74" s="12" t="s">
        <v>53</v>
      </c>
      <c r="H74" s="11">
        <v>1.15E-2</v>
      </c>
    </row>
    <row r="75" spans="2:8">
      <c r="B75" s="10" t="s">
        <v>73</v>
      </c>
      <c r="C75" s="11">
        <v>7.7000000000000002E-3</v>
      </c>
      <c r="D75" s="11">
        <v>5.6300000000000003E-2</v>
      </c>
      <c r="E75" s="11">
        <v>1.03E-2</v>
      </c>
      <c r="F75" s="11">
        <v>0.25</v>
      </c>
      <c r="G75" s="12" t="s">
        <v>74</v>
      </c>
      <c r="H75" s="11">
        <v>9.9000000000000008E-3</v>
      </c>
    </row>
    <row r="76" spans="2:8">
      <c r="B76" s="10" t="s">
        <v>75</v>
      </c>
      <c r="C76" s="11">
        <v>2.07E-2</v>
      </c>
      <c r="D76" s="11">
        <v>7.3800000000000004E-2</v>
      </c>
      <c r="E76" s="11">
        <v>2.7799999999999998E-2</v>
      </c>
      <c r="F76" s="11">
        <v>0.35</v>
      </c>
      <c r="G76" s="12" t="s">
        <v>24</v>
      </c>
      <c r="H76" s="11">
        <v>2.7400000000000001E-2</v>
      </c>
    </row>
    <row r="77" spans="2:8">
      <c r="B77" s="10" t="s">
        <v>76</v>
      </c>
      <c r="C77" s="11">
        <v>7.0800000000000002E-2</v>
      </c>
      <c r="D77" s="11">
        <v>0.1411</v>
      </c>
      <c r="E77" s="11">
        <v>9.5100000000000004E-2</v>
      </c>
      <c r="F77" s="11">
        <v>0.3</v>
      </c>
      <c r="G77" s="12" t="s">
        <v>26</v>
      </c>
      <c r="H77" s="12" t="s">
        <v>20</v>
      </c>
    </row>
    <row r="78" spans="2:8">
      <c r="B78" s="10" t="s">
        <v>77</v>
      </c>
      <c r="C78" s="11">
        <v>9.8100000000000007E-2</v>
      </c>
      <c r="D78" s="11">
        <v>0.1777</v>
      </c>
      <c r="E78" s="11">
        <v>0.13170000000000001</v>
      </c>
      <c r="F78" s="11">
        <v>0.28000000000000003</v>
      </c>
      <c r="G78" s="12" t="s">
        <v>50</v>
      </c>
      <c r="H78" s="12" t="s">
        <v>20</v>
      </c>
    </row>
    <row r="79" spans="2:8">
      <c r="B79" s="10" t="s">
        <v>78</v>
      </c>
      <c r="C79" s="11">
        <v>4.9000000000000002E-2</v>
      </c>
      <c r="D79" s="11">
        <v>0.1118</v>
      </c>
      <c r="E79" s="11">
        <v>6.5799999999999997E-2</v>
      </c>
      <c r="F79" s="11">
        <v>0.2974</v>
      </c>
      <c r="G79" s="12" t="s">
        <v>19</v>
      </c>
      <c r="H79" s="12" t="s">
        <v>20</v>
      </c>
    </row>
    <row r="80" spans="2:8">
      <c r="B80" s="10" t="s">
        <v>79</v>
      </c>
      <c r="C80" s="11">
        <v>4.9000000000000002E-2</v>
      </c>
      <c r="D80" s="11">
        <v>0.1118</v>
      </c>
      <c r="E80" s="11">
        <v>6.5799999999999997E-2</v>
      </c>
      <c r="F80" s="11">
        <v>0.3</v>
      </c>
      <c r="G80" s="12" t="s">
        <v>19</v>
      </c>
      <c r="H80" s="11">
        <v>3.1099999999999999E-2</v>
      </c>
    </row>
    <row r="81" spans="2:8">
      <c r="B81" s="10" t="s">
        <v>80</v>
      </c>
      <c r="C81" s="11">
        <v>2.07E-2</v>
      </c>
      <c r="D81" s="11">
        <v>7.3800000000000004E-2</v>
      </c>
      <c r="E81" s="11">
        <v>2.7799999999999998E-2</v>
      </c>
      <c r="F81" s="11">
        <v>0.18</v>
      </c>
      <c r="G81" s="12" t="s">
        <v>24</v>
      </c>
      <c r="H81" s="11">
        <v>1.34E-2</v>
      </c>
    </row>
    <row r="82" spans="2:8">
      <c r="B82" s="10" t="s">
        <v>81</v>
      </c>
      <c r="C82" s="11">
        <v>0.13070000000000001</v>
      </c>
      <c r="D82" s="11">
        <v>0.2215</v>
      </c>
      <c r="E82" s="11">
        <v>0.17549999999999999</v>
      </c>
      <c r="F82" s="11">
        <v>0.2853</v>
      </c>
      <c r="G82" s="12" t="s">
        <v>30</v>
      </c>
      <c r="H82" s="12" t="s">
        <v>20</v>
      </c>
    </row>
    <row r="83" spans="2:8">
      <c r="B83" s="14" t="s">
        <v>82</v>
      </c>
      <c r="C83" s="11">
        <v>2.07E-2</v>
      </c>
      <c r="D83" s="11">
        <v>7.3800000000000004E-2</v>
      </c>
      <c r="E83" s="11">
        <v>2.7799999999999998E-2</v>
      </c>
      <c r="F83" s="11">
        <v>0.22</v>
      </c>
      <c r="G83" s="12" t="s">
        <v>24</v>
      </c>
      <c r="H83" s="12" t="s">
        <v>20</v>
      </c>
    </row>
    <row r="84" spans="2:8">
      <c r="B84" s="10" t="s">
        <v>83</v>
      </c>
      <c r="C84" s="11">
        <v>2.07E-2</v>
      </c>
      <c r="D84" s="11">
        <v>7.3800000000000004E-2</v>
      </c>
      <c r="E84" s="11">
        <v>2.7799999999999998E-2</v>
      </c>
      <c r="F84" s="11">
        <v>0.125</v>
      </c>
      <c r="G84" s="12" t="s">
        <v>24</v>
      </c>
      <c r="H84" s="11">
        <v>1.11E-2</v>
      </c>
    </row>
    <row r="85" spans="2:8">
      <c r="B85" s="10" t="s">
        <v>84</v>
      </c>
      <c r="C85" s="11">
        <v>6.4999999999999997E-3</v>
      </c>
      <c r="D85" s="11">
        <v>5.4800000000000001E-2</v>
      </c>
      <c r="E85" s="11">
        <v>8.8000000000000005E-3</v>
      </c>
      <c r="F85" s="11">
        <v>0.19</v>
      </c>
      <c r="G85" s="12" t="s">
        <v>48</v>
      </c>
      <c r="H85" s="11">
        <v>5.5999999999999999E-3</v>
      </c>
    </row>
    <row r="86" spans="2:8">
      <c r="B86" s="10" t="s">
        <v>85</v>
      </c>
      <c r="C86" s="11">
        <v>0</v>
      </c>
      <c r="D86" s="11">
        <v>4.5999999999999999E-2</v>
      </c>
      <c r="E86" s="11">
        <v>0</v>
      </c>
      <c r="F86" s="11">
        <v>0.22</v>
      </c>
      <c r="G86" s="12" t="s">
        <v>35</v>
      </c>
      <c r="H86" s="11">
        <v>2.3999999999999998E-3</v>
      </c>
    </row>
    <row r="87" spans="2:8">
      <c r="B87" s="10" t="s">
        <v>86</v>
      </c>
      <c r="C87" s="11">
        <v>3.9199999999999999E-2</v>
      </c>
      <c r="D87" s="11">
        <v>9.8599999999999993E-2</v>
      </c>
      <c r="E87" s="11">
        <v>5.2600000000000001E-2</v>
      </c>
      <c r="F87" s="11">
        <v>0.27</v>
      </c>
      <c r="G87" s="12" t="s">
        <v>32</v>
      </c>
      <c r="H87" s="12" t="s">
        <v>20</v>
      </c>
    </row>
    <row r="88" spans="2:8">
      <c r="B88" s="10" t="s">
        <v>87</v>
      </c>
      <c r="C88" s="11">
        <v>0.109</v>
      </c>
      <c r="D88" s="11">
        <v>0.1923</v>
      </c>
      <c r="E88" s="11">
        <v>0.14630000000000001</v>
      </c>
      <c r="F88" s="11">
        <v>0.25</v>
      </c>
      <c r="G88" s="12" t="s">
        <v>88</v>
      </c>
      <c r="H88" s="11">
        <v>0.52739999999999998</v>
      </c>
    </row>
    <row r="89" spans="2:8">
      <c r="B89" s="10" t="s">
        <v>89</v>
      </c>
      <c r="C89" s="11">
        <v>8.1699999999999995E-2</v>
      </c>
      <c r="D89" s="11">
        <v>0.15570000000000001</v>
      </c>
      <c r="E89" s="11">
        <v>0.10970000000000001</v>
      </c>
      <c r="F89" s="11">
        <v>0.22500000000000001</v>
      </c>
      <c r="G89" s="12" t="s">
        <v>55</v>
      </c>
      <c r="H89" s="11">
        <v>0.1013</v>
      </c>
    </row>
    <row r="90" spans="2:8">
      <c r="B90" s="10" t="s">
        <v>90</v>
      </c>
      <c r="C90" s="11">
        <v>0.109</v>
      </c>
      <c r="D90" s="11">
        <v>0.1923</v>
      </c>
      <c r="E90" s="11">
        <v>0.14630000000000001</v>
      </c>
      <c r="F90" s="11">
        <v>0.3</v>
      </c>
      <c r="G90" s="12" t="s">
        <v>88</v>
      </c>
      <c r="H90" s="11">
        <v>8.4000000000000005E-2</v>
      </c>
    </row>
    <row r="91" spans="2:8">
      <c r="B91" s="10" t="s">
        <v>91</v>
      </c>
      <c r="C91" s="11">
        <v>7.7000000000000002E-3</v>
      </c>
      <c r="D91" s="11">
        <v>5.6300000000000003E-2</v>
      </c>
      <c r="E91" s="11">
        <v>1.03E-2</v>
      </c>
      <c r="F91" s="11">
        <v>0.2</v>
      </c>
      <c r="G91" s="12" t="s">
        <v>74</v>
      </c>
      <c r="H91" s="11">
        <v>6.0000000000000001E-3</v>
      </c>
    </row>
    <row r="92" spans="2:8">
      <c r="B92" s="10" t="s">
        <v>92</v>
      </c>
      <c r="C92" s="11">
        <v>9.8100000000000007E-2</v>
      </c>
      <c r="D92" s="11">
        <v>0.1777</v>
      </c>
      <c r="E92" s="11">
        <v>0.13170000000000001</v>
      </c>
      <c r="F92" s="11">
        <v>0.3</v>
      </c>
      <c r="G92" s="12" t="s">
        <v>50</v>
      </c>
      <c r="H92" s="11">
        <v>0.3231</v>
      </c>
    </row>
    <row r="93" spans="2:8">
      <c r="B93" s="10" t="s">
        <v>93</v>
      </c>
      <c r="C93" s="11">
        <v>4.2900000000000001E-2</v>
      </c>
      <c r="D93" s="11">
        <v>0.1036</v>
      </c>
      <c r="E93" s="11">
        <v>0.1036</v>
      </c>
      <c r="F93" s="11">
        <v>0.316</v>
      </c>
      <c r="G93" s="12" t="s">
        <v>22</v>
      </c>
      <c r="H93" s="12" t="s">
        <v>20</v>
      </c>
    </row>
    <row r="94" spans="2:8">
      <c r="B94" s="10" t="s">
        <v>94</v>
      </c>
      <c r="C94" s="11">
        <v>4.9000000000000002E-2</v>
      </c>
      <c r="D94" s="11">
        <v>0.1118</v>
      </c>
      <c r="E94" s="11">
        <v>6.5799999999999997E-2</v>
      </c>
      <c r="F94" s="11">
        <v>0.2</v>
      </c>
      <c r="G94" s="12" t="s">
        <v>19</v>
      </c>
      <c r="H94" s="12" t="s">
        <v>20</v>
      </c>
    </row>
    <row r="95" spans="2:8">
      <c r="B95" s="10" t="s">
        <v>95</v>
      </c>
      <c r="C95" s="11">
        <v>4.4000000000000003E-3</v>
      </c>
      <c r="D95" s="11">
        <v>5.1799999999999999E-2</v>
      </c>
      <c r="E95" s="11">
        <v>5.7999999999999996E-3</v>
      </c>
      <c r="F95" s="11">
        <v>0.2</v>
      </c>
      <c r="G95" s="12" t="s">
        <v>37</v>
      </c>
      <c r="H95" s="11">
        <v>3.3999999999999998E-3</v>
      </c>
    </row>
    <row r="96" spans="2:8">
      <c r="B96" s="10" t="s">
        <v>96</v>
      </c>
      <c r="C96" s="11">
        <v>5.4000000000000003E-3</v>
      </c>
      <c r="D96" s="11">
        <v>5.3199999999999997E-2</v>
      </c>
      <c r="E96" s="11">
        <v>7.1999999999999998E-3</v>
      </c>
      <c r="F96" s="11">
        <v>0.25</v>
      </c>
      <c r="G96" s="12" t="s">
        <v>17</v>
      </c>
      <c r="H96" s="11">
        <v>4.3E-3</v>
      </c>
    </row>
    <row r="97" spans="2:8">
      <c r="B97" s="10" t="s">
        <v>97</v>
      </c>
      <c r="C97" s="11">
        <v>4.2900000000000001E-2</v>
      </c>
      <c r="D97" s="11">
        <v>0.1036</v>
      </c>
      <c r="E97" s="11">
        <v>0.1036</v>
      </c>
      <c r="F97" s="11">
        <v>0.316</v>
      </c>
      <c r="G97" s="12" t="s">
        <v>22</v>
      </c>
      <c r="H97" s="12" t="s">
        <v>20</v>
      </c>
    </row>
    <row r="98" spans="2:8">
      <c r="B98" s="10" t="s">
        <v>98</v>
      </c>
      <c r="C98" s="11">
        <v>8.1699999999999995E-2</v>
      </c>
      <c r="D98" s="11">
        <v>0.15570000000000001</v>
      </c>
      <c r="E98" s="11">
        <v>0.10970000000000001</v>
      </c>
      <c r="F98" s="11">
        <v>0.3</v>
      </c>
      <c r="G98" s="12" t="s">
        <v>55</v>
      </c>
      <c r="H98" s="11">
        <v>6.8500000000000005E-2</v>
      </c>
    </row>
    <row r="99" spans="2:8">
      <c r="B99" s="13" t="s">
        <v>99</v>
      </c>
      <c r="C99" s="11">
        <v>4.9000000000000002E-2</v>
      </c>
      <c r="D99" s="11">
        <v>0.1118</v>
      </c>
      <c r="E99" s="11">
        <v>6.5799999999999997E-2</v>
      </c>
      <c r="F99" s="11">
        <v>0.31</v>
      </c>
      <c r="G99" s="12" t="s">
        <v>22</v>
      </c>
      <c r="H99" s="12" t="s">
        <v>20</v>
      </c>
    </row>
    <row r="100" spans="2:8">
      <c r="B100" s="10" t="s">
        <v>100</v>
      </c>
      <c r="C100" s="11">
        <v>3.2800000000000003E-2</v>
      </c>
      <c r="D100" s="11">
        <v>0.09</v>
      </c>
      <c r="E100" s="11">
        <v>4.3999999999999997E-2</v>
      </c>
      <c r="F100" s="11">
        <v>0.15</v>
      </c>
      <c r="G100" s="12" t="s">
        <v>60</v>
      </c>
      <c r="H100" s="12" t="s">
        <v>20</v>
      </c>
    </row>
    <row r="101" spans="2:8">
      <c r="B101" s="10" t="s">
        <v>101</v>
      </c>
      <c r="C101" s="11">
        <v>0</v>
      </c>
      <c r="D101" s="11">
        <v>4.5999999999999999E-2</v>
      </c>
      <c r="E101" s="11">
        <v>0</v>
      </c>
      <c r="F101" s="11">
        <v>0.3</v>
      </c>
      <c r="G101" s="12" t="s">
        <v>35</v>
      </c>
      <c r="H101" s="11">
        <v>2.8999999999999998E-3</v>
      </c>
    </row>
    <row r="102" spans="2:8">
      <c r="B102" s="10" t="s">
        <v>102</v>
      </c>
      <c r="C102" s="11">
        <v>0.109</v>
      </c>
      <c r="D102" s="11">
        <v>0.1923</v>
      </c>
      <c r="E102" s="11">
        <v>0.14630000000000001</v>
      </c>
      <c r="F102" s="11">
        <v>0.25</v>
      </c>
      <c r="G102" s="12" t="s">
        <v>88</v>
      </c>
      <c r="H102" s="12" t="s">
        <v>20</v>
      </c>
    </row>
    <row r="103" spans="2:8">
      <c r="B103" s="10" t="s">
        <v>103</v>
      </c>
      <c r="C103" s="11">
        <v>9.5999999999999992E-3</v>
      </c>
      <c r="D103" s="11">
        <v>5.8900000000000001E-2</v>
      </c>
      <c r="E103" s="11">
        <v>5.8900000000000001E-2</v>
      </c>
      <c r="F103" s="11">
        <v>0.24709999999999999</v>
      </c>
      <c r="G103" s="12" t="s">
        <v>22</v>
      </c>
      <c r="H103" s="12" t="s">
        <v>20</v>
      </c>
    </row>
    <row r="104" spans="2:8">
      <c r="B104" s="10" t="s">
        <v>104</v>
      </c>
      <c r="C104" s="11">
        <v>2.7300000000000001E-2</v>
      </c>
      <c r="D104" s="11">
        <v>8.2600000000000007E-2</v>
      </c>
      <c r="E104" s="11">
        <v>3.6600000000000001E-2</v>
      </c>
      <c r="F104" s="11">
        <v>0.22</v>
      </c>
      <c r="G104" s="12" t="s">
        <v>39</v>
      </c>
      <c r="H104" s="11">
        <v>1.2800000000000001E-2</v>
      </c>
    </row>
    <row r="105" spans="2:8">
      <c r="B105" s="10" t="s">
        <v>105</v>
      </c>
      <c r="C105" s="11">
        <v>0</v>
      </c>
      <c r="D105" s="12" t="s">
        <v>20</v>
      </c>
      <c r="E105" s="12" t="s">
        <v>20</v>
      </c>
      <c r="F105" s="11">
        <v>0</v>
      </c>
      <c r="G105" s="12" t="s">
        <v>22</v>
      </c>
      <c r="H105" s="12" t="s">
        <v>20</v>
      </c>
    </row>
    <row r="106" spans="2:8">
      <c r="B106" s="10" t="s">
        <v>106</v>
      </c>
      <c r="C106" s="11">
        <v>2.7300000000000001E-2</v>
      </c>
      <c r="D106" s="11">
        <v>8.2600000000000007E-2</v>
      </c>
      <c r="E106" s="11">
        <v>3.6600000000000001E-2</v>
      </c>
      <c r="F106" s="11">
        <v>0.25</v>
      </c>
      <c r="G106" s="12" t="s">
        <v>39</v>
      </c>
      <c r="H106" s="12" t="s">
        <v>20</v>
      </c>
    </row>
    <row r="107" spans="2:8">
      <c r="B107" s="10" t="s">
        <v>107</v>
      </c>
      <c r="C107" s="11">
        <v>7.7000000000000002E-3</v>
      </c>
      <c r="D107" s="11">
        <v>5.6300000000000003E-2</v>
      </c>
      <c r="E107" s="11">
        <v>1.03E-2</v>
      </c>
      <c r="F107" s="11">
        <v>0</v>
      </c>
      <c r="G107" s="12" t="s">
        <v>74</v>
      </c>
      <c r="H107" s="12" t="s">
        <v>20</v>
      </c>
    </row>
    <row r="108" spans="2:8">
      <c r="B108" s="13" t="s">
        <v>108</v>
      </c>
      <c r="C108" s="11">
        <v>9.8100000000000007E-2</v>
      </c>
      <c r="D108" s="11">
        <v>0.1777</v>
      </c>
      <c r="E108" s="11">
        <v>0.13170000000000001</v>
      </c>
      <c r="F108" s="11">
        <v>0.29149999999999998</v>
      </c>
      <c r="G108" s="12" t="s">
        <v>22</v>
      </c>
      <c r="H108" s="12" t="s">
        <v>20</v>
      </c>
    </row>
    <row r="109" spans="2:8">
      <c r="B109" s="13" t="s">
        <v>109</v>
      </c>
      <c r="C109" s="11">
        <v>5.9900000000000002E-2</v>
      </c>
      <c r="D109" s="11">
        <v>0.12640000000000001</v>
      </c>
      <c r="E109" s="11">
        <v>8.0399999999999999E-2</v>
      </c>
      <c r="F109" s="11">
        <v>0.29149999999999998</v>
      </c>
      <c r="G109" s="12" t="s">
        <v>22</v>
      </c>
      <c r="H109" s="12" t="s">
        <v>20</v>
      </c>
    </row>
    <row r="110" spans="2:8">
      <c r="B110" s="13" t="s">
        <v>110</v>
      </c>
      <c r="C110" s="11">
        <v>1.7399999999999999E-2</v>
      </c>
      <c r="D110" s="11">
        <v>6.9400000000000003E-2</v>
      </c>
      <c r="E110" s="11">
        <v>2.3400000000000001E-2</v>
      </c>
      <c r="F110" s="11">
        <v>0.18640000000000001</v>
      </c>
      <c r="G110" s="12" t="s">
        <v>22</v>
      </c>
      <c r="H110" s="12" t="s">
        <v>20</v>
      </c>
    </row>
    <row r="111" spans="2:8">
      <c r="B111" s="13" t="s">
        <v>111</v>
      </c>
      <c r="C111" s="11">
        <v>0.109</v>
      </c>
      <c r="D111" s="11">
        <v>0.1923</v>
      </c>
      <c r="E111" s="11">
        <v>0.14630000000000001</v>
      </c>
      <c r="F111" s="11">
        <v>0.18640000000000001</v>
      </c>
      <c r="G111" s="12" t="s">
        <v>22</v>
      </c>
      <c r="H111" s="12" t="s">
        <v>20</v>
      </c>
    </row>
    <row r="112" spans="2:8">
      <c r="B112" s="10" t="s">
        <v>112</v>
      </c>
      <c r="C112" s="11">
        <v>4.9000000000000002E-2</v>
      </c>
      <c r="D112" s="11">
        <v>0.1118</v>
      </c>
      <c r="E112" s="11">
        <v>6.5799999999999997E-2</v>
      </c>
      <c r="F112" s="11">
        <v>0.25</v>
      </c>
      <c r="G112" s="12" t="s">
        <v>19</v>
      </c>
      <c r="H112" s="12" t="s">
        <v>20</v>
      </c>
    </row>
    <row r="113" spans="2:8">
      <c r="B113" s="10" t="s">
        <v>113</v>
      </c>
      <c r="C113" s="11">
        <v>6.4999999999999997E-3</v>
      </c>
      <c r="D113" s="11">
        <v>5.4800000000000001E-2</v>
      </c>
      <c r="E113" s="11">
        <v>8.8000000000000005E-3</v>
      </c>
      <c r="F113" s="11">
        <v>0.16500000000000001</v>
      </c>
      <c r="G113" s="12" t="s">
        <v>48</v>
      </c>
      <c r="H113" s="11">
        <v>6.0000000000000001E-3</v>
      </c>
    </row>
    <row r="114" spans="2:8">
      <c r="B114" s="10" t="s">
        <v>114</v>
      </c>
      <c r="C114" s="11">
        <v>2.07E-2</v>
      </c>
      <c r="D114" s="11">
        <v>7.3800000000000004E-2</v>
      </c>
      <c r="E114" s="11">
        <v>2.7799999999999998E-2</v>
      </c>
      <c r="F114" s="11">
        <v>0.09</v>
      </c>
      <c r="G114" s="12" t="s">
        <v>24</v>
      </c>
      <c r="H114" s="11">
        <v>1.95E-2</v>
      </c>
    </row>
    <row r="115" spans="2:8">
      <c r="B115" s="10" t="s">
        <v>115</v>
      </c>
      <c r="C115" s="11">
        <v>9.1999999999999998E-3</v>
      </c>
      <c r="D115" s="11">
        <v>5.8400000000000001E-2</v>
      </c>
      <c r="E115" s="11">
        <v>1.24E-2</v>
      </c>
      <c r="F115" s="11">
        <v>0.2</v>
      </c>
      <c r="G115" s="12" t="s">
        <v>53</v>
      </c>
      <c r="H115" s="11">
        <v>8.8000000000000005E-3</v>
      </c>
    </row>
    <row r="116" spans="2:8">
      <c r="B116" s="10" t="s">
        <v>116</v>
      </c>
      <c r="C116" s="11">
        <v>2.3900000000000001E-2</v>
      </c>
      <c r="D116" s="11">
        <v>7.8100000000000003E-2</v>
      </c>
      <c r="E116" s="11">
        <v>3.2099999999999997E-2</v>
      </c>
      <c r="F116" s="11">
        <v>0.3</v>
      </c>
      <c r="G116" s="12" t="s">
        <v>117</v>
      </c>
      <c r="H116" s="11">
        <v>9.9000000000000008E-3</v>
      </c>
    </row>
    <row r="117" spans="2:8">
      <c r="B117" s="10" t="s">
        <v>118</v>
      </c>
      <c r="C117" s="11">
        <v>2.07E-2</v>
      </c>
      <c r="D117" s="11">
        <v>7.3800000000000004E-2</v>
      </c>
      <c r="E117" s="11">
        <v>2.7799999999999998E-2</v>
      </c>
      <c r="F117" s="11">
        <v>0.22</v>
      </c>
      <c r="G117" s="12" t="s">
        <v>24</v>
      </c>
      <c r="H117" s="11">
        <v>1.32E-2</v>
      </c>
    </row>
    <row r="118" spans="2:8">
      <c r="B118" s="13" t="s">
        <v>119</v>
      </c>
      <c r="C118" s="11">
        <v>7.0800000000000002E-2</v>
      </c>
      <c r="D118" s="11">
        <v>0.1411</v>
      </c>
      <c r="E118" s="11">
        <v>9.5100000000000004E-2</v>
      </c>
      <c r="F118" s="11">
        <v>0.20230000000000001</v>
      </c>
      <c r="G118" s="12" t="s">
        <v>22</v>
      </c>
      <c r="H118" s="12" t="s">
        <v>20</v>
      </c>
    </row>
    <row r="119" spans="2:8">
      <c r="B119" s="10" t="s">
        <v>120</v>
      </c>
      <c r="C119" s="11">
        <v>8.1699999999999995E-2</v>
      </c>
      <c r="D119" s="11">
        <v>0.15570000000000001</v>
      </c>
      <c r="E119" s="11">
        <v>0.10970000000000001</v>
      </c>
      <c r="F119" s="11">
        <v>0.15</v>
      </c>
      <c r="G119" s="12" t="s">
        <v>55</v>
      </c>
      <c r="H119" s="11">
        <v>5.1400000000000001E-2</v>
      </c>
    </row>
    <row r="120" spans="2:8">
      <c r="B120" s="10" t="s">
        <v>121</v>
      </c>
      <c r="C120" s="11">
        <v>6.4999999999999997E-3</v>
      </c>
      <c r="D120" s="11">
        <v>5.4800000000000001E-2</v>
      </c>
      <c r="E120" s="11">
        <v>8.8000000000000005E-3</v>
      </c>
      <c r="F120" s="11">
        <v>0.125</v>
      </c>
      <c r="G120" s="12" t="s">
        <v>48</v>
      </c>
      <c r="H120" s="11">
        <v>4.1000000000000003E-3</v>
      </c>
    </row>
    <row r="121" spans="2:8">
      <c r="B121" s="10" t="s">
        <v>122</v>
      </c>
      <c r="C121" s="11">
        <v>6.4999999999999997E-3</v>
      </c>
      <c r="D121" s="11">
        <v>5.4800000000000001E-2</v>
      </c>
      <c r="E121" s="11">
        <v>8.8000000000000005E-3</v>
      </c>
      <c r="F121" s="11">
        <v>0</v>
      </c>
      <c r="G121" s="12" t="s">
        <v>48</v>
      </c>
      <c r="H121" s="12" t="s">
        <v>20</v>
      </c>
    </row>
    <row r="122" spans="2:8">
      <c r="B122" s="10" t="s">
        <v>123</v>
      </c>
      <c r="C122" s="11">
        <v>7.7000000000000002E-3</v>
      </c>
      <c r="D122" s="11">
        <v>5.6300000000000003E-2</v>
      </c>
      <c r="E122" s="11">
        <v>1.03E-2</v>
      </c>
      <c r="F122" s="11">
        <v>0.23</v>
      </c>
      <c r="G122" s="12" t="s">
        <v>74</v>
      </c>
      <c r="H122" s="11">
        <v>1.5699999999999999E-2</v>
      </c>
    </row>
    <row r="123" spans="2:8">
      <c r="B123" s="10" t="s">
        <v>124</v>
      </c>
      <c r="C123" s="11">
        <v>2.3900000000000001E-2</v>
      </c>
      <c r="D123" s="11">
        <v>7.8100000000000003E-2</v>
      </c>
      <c r="E123" s="11">
        <v>3.2099999999999997E-2</v>
      </c>
      <c r="F123" s="11">
        <v>0.24</v>
      </c>
      <c r="G123" s="12" t="s">
        <v>117</v>
      </c>
      <c r="H123" s="11">
        <v>1.34E-2</v>
      </c>
    </row>
    <row r="124" spans="2:8">
      <c r="B124" s="10" t="s">
        <v>125</v>
      </c>
      <c r="C124" s="11">
        <v>3.9199999999999999E-2</v>
      </c>
      <c r="D124" s="11">
        <v>9.8599999999999993E-2</v>
      </c>
      <c r="E124" s="11">
        <v>5.2600000000000001E-2</v>
      </c>
      <c r="F124" s="11">
        <v>0.25</v>
      </c>
      <c r="G124" s="12" t="s">
        <v>32</v>
      </c>
      <c r="H124" s="12" t="s">
        <v>20</v>
      </c>
    </row>
    <row r="125" spans="2:8">
      <c r="B125" s="10" t="s">
        <v>126</v>
      </c>
      <c r="C125" s="11">
        <v>4.9000000000000002E-2</v>
      </c>
      <c r="D125" s="11">
        <v>0.1118</v>
      </c>
      <c r="E125" s="11">
        <v>6.5799999999999997E-2</v>
      </c>
      <c r="F125" s="11">
        <v>0.25</v>
      </c>
      <c r="G125" s="12" t="s">
        <v>19</v>
      </c>
      <c r="H125" s="12" t="s">
        <v>20</v>
      </c>
    </row>
    <row r="126" spans="2:8">
      <c r="B126" s="10" t="s">
        <v>127</v>
      </c>
      <c r="C126" s="11">
        <v>7.7000000000000002E-3</v>
      </c>
      <c r="D126" s="11">
        <v>5.6300000000000003E-2</v>
      </c>
      <c r="E126" s="11">
        <v>1.03E-2</v>
      </c>
      <c r="F126" s="11">
        <v>0.30620000000000003</v>
      </c>
      <c r="G126" s="12" t="s">
        <v>74</v>
      </c>
      <c r="H126" s="11">
        <v>4.3E-3</v>
      </c>
    </row>
    <row r="127" spans="2:8">
      <c r="B127" s="10" t="s">
        <v>128</v>
      </c>
      <c r="C127" s="11">
        <v>6.4999999999999997E-3</v>
      </c>
      <c r="D127" s="11">
        <v>5.4800000000000001E-2</v>
      </c>
      <c r="E127" s="11">
        <v>8.8000000000000005E-3</v>
      </c>
      <c r="F127" s="11">
        <v>0</v>
      </c>
      <c r="G127" s="12" t="s">
        <v>48</v>
      </c>
      <c r="H127" s="12" t="s">
        <v>20</v>
      </c>
    </row>
    <row r="128" spans="2:8">
      <c r="B128" s="10" t="s">
        <v>129</v>
      </c>
      <c r="C128" s="11">
        <v>4.9000000000000002E-2</v>
      </c>
      <c r="D128" s="11">
        <v>0.1118</v>
      </c>
      <c r="E128" s="11">
        <v>6.5799999999999997E-2</v>
      </c>
      <c r="F128" s="11">
        <v>0.2</v>
      </c>
      <c r="G128" s="12" t="s">
        <v>19</v>
      </c>
      <c r="H128" s="12" t="s">
        <v>20</v>
      </c>
    </row>
    <row r="129" spans="2:8">
      <c r="B129" s="10" t="s">
        <v>130</v>
      </c>
      <c r="C129" s="11">
        <v>2.07E-2</v>
      </c>
      <c r="D129" s="11">
        <v>7.3800000000000004E-2</v>
      </c>
      <c r="E129" s="11">
        <v>2.7799999999999998E-2</v>
      </c>
      <c r="F129" s="11">
        <v>0.2</v>
      </c>
      <c r="G129" s="12" t="s">
        <v>24</v>
      </c>
      <c r="H129" s="11">
        <v>1.7600000000000001E-2</v>
      </c>
    </row>
    <row r="130" spans="2:8">
      <c r="B130" s="10" t="s">
        <v>131</v>
      </c>
      <c r="C130" s="11">
        <v>7.0800000000000002E-2</v>
      </c>
      <c r="D130" s="11">
        <v>0.1411</v>
      </c>
      <c r="E130" s="11">
        <v>9.5100000000000004E-2</v>
      </c>
      <c r="F130" s="11">
        <v>0.3</v>
      </c>
      <c r="G130" s="12" t="s">
        <v>26</v>
      </c>
      <c r="H130" s="11">
        <v>7.0400000000000004E-2</v>
      </c>
    </row>
    <row r="131" spans="2:8">
      <c r="B131" s="13" t="s">
        <v>132</v>
      </c>
      <c r="C131" s="11">
        <v>0.17499999999999999</v>
      </c>
      <c r="D131" s="11">
        <v>0.28089999999999998</v>
      </c>
      <c r="E131" s="11">
        <v>0.2349</v>
      </c>
      <c r="F131" s="11">
        <v>0.23100000000000001</v>
      </c>
      <c r="G131" s="12" t="s">
        <v>22</v>
      </c>
      <c r="H131" s="12" t="s">
        <v>20</v>
      </c>
    </row>
    <row r="132" spans="2:8">
      <c r="B132" s="10" t="s">
        <v>133</v>
      </c>
      <c r="C132" s="11">
        <v>7.7000000000000002E-3</v>
      </c>
      <c r="D132" s="11">
        <v>5.6300000000000003E-2</v>
      </c>
      <c r="E132" s="11">
        <v>1.03E-2</v>
      </c>
      <c r="F132" s="11">
        <v>0.15</v>
      </c>
      <c r="G132" s="12" t="s">
        <v>74</v>
      </c>
      <c r="H132" s="11">
        <v>8.3000000000000001E-3</v>
      </c>
    </row>
    <row r="133" spans="2:8">
      <c r="B133" s="10" t="s">
        <v>134</v>
      </c>
      <c r="C133" s="11">
        <v>7.0800000000000002E-2</v>
      </c>
      <c r="D133" s="11">
        <v>0.1411</v>
      </c>
      <c r="E133" s="11">
        <v>9.5100000000000004E-2</v>
      </c>
      <c r="F133" s="11">
        <v>0.1</v>
      </c>
      <c r="G133" s="12" t="s">
        <v>26</v>
      </c>
      <c r="H133" s="12" t="s">
        <v>20</v>
      </c>
    </row>
    <row r="134" spans="2:8">
      <c r="B134" s="10" t="s">
        <v>135</v>
      </c>
      <c r="C134" s="11">
        <v>0.109</v>
      </c>
      <c r="D134" s="11">
        <v>0.1923</v>
      </c>
      <c r="E134" s="11">
        <v>0.14630000000000001</v>
      </c>
      <c r="F134" s="11">
        <v>0.26860000000000001</v>
      </c>
      <c r="G134" s="12" t="s">
        <v>88</v>
      </c>
      <c r="H134" s="12" t="s">
        <v>20</v>
      </c>
    </row>
    <row r="135" spans="2:8">
      <c r="B135" s="10" t="s">
        <v>136</v>
      </c>
      <c r="C135" s="11">
        <v>1.3100000000000001E-2</v>
      </c>
      <c r="D135" s="11">
        <v>6.3500000000000001E-2</v>
      </c>
      <c r="E135" s="11">
        <v>1.7500000000000002E-2</v>
      </c>
      <c r="F135" s="11">
        <v>0.2</v>
      </c>
      <c r="G135" s="12" t="s">
        <v>58</v>
      </c>
      <c r="H135" s="11">
        <v>9.4000000000000004E-3</v>
      </c>
    </row>
    <row r="136" spans="2:8">
      <c r="B136" s="10" t="s">
        <v>137</v>
      </c>
      <c r="C136" s="11">
        <v>0.17499999999999999</v>
      </c>
      <c r="D136" s="11">
        <v>0.28089999999999998</v>
      </c>
      <c r="E136" s="11">
        <v>0.2349</v>
      </c>
      <c r="F136" s="11">
        <v>0.17</v>
      </c>
      <c r="G136" s="12" t="s">
        <v>46</v>
      </c>
      <c r="H136" s="12" t="s">
        <v>20</v>
      </c>
    </row>
    <row r="137" spans="2:8">
      <c r="B137" s="13" t="s">
        <v>138</v>
      </c>
      <c r="C137" s="11">
        <v>0.13070000000000001</v>
      </c>
      <c r="D137" s="11">
        <v>0.2215</v>
      </c>
      <c r="E137" s="11">
        <v>0.17549999999999999</v>
      </c>
      <c r="F137" s="11">
        <v>0.29149999999999998</v>
      </c>
      <c r="G137" s="12" t="s">
        <v>22</v>
      </c>
      <c r="H137" s="12" t="s">
        <v>20</v>
      </c>
    </row>
    <row r="138" spans="2:8">
      <c r="B138" s="13" t="s">
        <v>139</v>
      </c>
      <c r="C138" s="11">
        <v>2.07E-2</v>
      </c>
      <c r="D138" s="11">
        <v>7.3800000000000004E-2</v>
      </c>
      <c r="E138" s="11">
        <v>2.7799999999999998E-2</v>
      </c>
      <c r="F138" s="11">
        <v>0.2</v>
      </c>
      <c r="G138" s="12" t="s">
        <v>22</v>
      </c>
      <c r="H138" s="12" t="s">
        <v>20</v>
      </c>
    </row>
    <row r="139" spans="2:8">
      <c r="B139" s="10" t="s">
        <v>140</v>
      </c>
      <c r="C139" s="11">
        <v>0</v>
      </c>
      <c r="D139" s="11">
        <v>4.5999999999999999E-2</v>
      </c>
      <c r="E139" s="11">
        <v>0</v>
      </c>
      <c r="F139" s="11">
        <v>0.125</v>
      </c>
      <c r="G139" s="12" t="s">
        <v>35</v>
      </c>
      <c r="H139" s="12" t="s">
        <v>20</v>
      </c>
    </row>
    <row r="140" spans="2:8">
      <c r="B140" s="10" t="s">
        <v>141</v>
      </c>
      <c r="C140" s="11">
        <v>9.1999999999999998E-3</v>
      </c>
      <c r="D140" s="11">
        <v>5.8400000000000001E-2</v>
      </c>
      <c r="E140" s="11">
        <v>1.24E-2</v>
      </c>
      <c r="F140" s="11">
        <v>0.15</v>
      </c>
      <c r="G140" s="12" t="s">
        <v>53</v>
      </c>
      <c r="H140" s="11">
        <v>8.9999999999999993E-3</v>
      </c>
    </row>
    <row r="141" spans="2:8">
      <c r="B141" s="10" t="s">
        <v>142</v>
      </c>
      <c r="C141" s="11">
        <v>0</v>
      </c>
      <c r="D141" s="11">
        <v>4.5999999999999999E-2</v>
      </c>
      <c r="E141" s="11">
        <v>0</v>
      </c>
      <c r="F141" s="11">
        <v>0.24940000000000001</v>
      </c>
      <c r="G141" s="12" t="s">
        <v>35</v>
      </c>
      <c r="H141" s="12" t="s">
        <v>20</v>
      </c>
    </row>
    <row r="142" spans="2:8">
      <c r="B142" s="10" t="s">
        <v>143</v>
      </c>
      <c r="C142" s="11">
        <v>6.4999999999999997E-3</v>
      </c>
      <c r="D142" s="11">
        <v>5.4800000000000001E-2</v>
      </c>
      <c r="E142" s="11">
        <v>8.8000000000000005E-3</v>
      </c>
      <c r="F142" s="11">
        <v>0.26860000000000001</v>
      </c>
      <c r="G142" s="12" t="s">
        <v>48</v>
      </c>
      <c r="H142" s="12" t="s">
        <v>20</v>
      </c>
    </row>
    <row r="143" spans="2:8">
      <c r="B143" s="10" t="s">
        <v>144</v>
      </c>
      <c r="C143" s="11">
        <v>3.9199999999999999E-2</v>
      </c>
      <c r="D143" s="11">
        <v>9.8599999999999993E-2</v>
      </c>
      <c r="E143" s="11">
        <v>5.2600000000000001E-2</v>
      </c>
      <c r="F143" s="11">
        <v>0.1</v>
      </c>
      <c r="G143" s="12" t="s">
        <v>32</v>
      </c>
      <c r="H143" s="12" t="s">
        <v>20</v>
      </c>
    </row>
    <row r="144" spans="2:8">
      <c r="B144" s="13" t="s">
        <v>145</v>
      </c>
      <c r="C144" s="11">
        <v>7.0800000000000002E-2</v>
      </c>
      <c r="D144" s="11">
        <v>0.1411</v>
      </c>
      <c r="E144" s="11">
        <v>9.5100000000000004E-2</v>
      </c>
      <c r="F144" s="11">
        <v>0.2</v>
      </c>
      <c r="G144" s="12" t="s">
        <v>22</v>
      </c>
      <c r="H144" s="12" t="s">
        <v>20</v>
      </c>
    </row>
    <row r="145" spans="2:8">
      <c r="B145" s="13" t="s">
        <v>146</v>
      </c>
      <c r="C145" s="11">
        <v>0.13070000000000001</v>
      </c>
      <c r="D145" s="11">
        <v>0.2215</v>
      </c>
      <c r="E145" s="11">
        <v>0.17549999999999999</v>
      </c>
      <c r="F145" s="11">
        <v>0.3</v>
      </c>
      <c r="G145" s="12" t="s">
        <v>22</v>
      </c>
      <c r="H145" s="12" t="s">
        <v>20</v>
      </c>
    </row>
    <row r="146" spans="2:8">
      <c r="B146" s="10" t="s">
        <v>147</v>
      </c>
      <c r="C146" s="11">
        <v>1.3100000000000001E-2</v>
      </c>
      <c r="D146" s="11">
        <v>6.3500000000000001E-2</v>
      </c>
      <c r="E146" s="11">
        <v>1.7500000000000002E-2</v>
      </c>
      <c r="F146" s="11">
        <v>0.24</v>
      </c>
      <c r="G146" s="12" t="s">
        <v>58</v>
      </c>
      <c r="H146" s="11">
        <v>8.6E-3</v>
      </c>
    </row>
    <row r="147" spans="2:8">
      <c r="B147" s="10" t="s">
        <v>148</v>
      </c>
      <c r="C147" s="11">
        <v>8.1699999999999995E-2</v>
      </c>
      <c r="D147" s="11">
        <v>0.15570000000000001</v>
      </c>
      <c r="E147" s="11">
        <v>0.10970000000000001</v>
      </c>
      <c r="F147" s="11">
        <v>0.26860000000000001</v>
      </c>
      <c r="G147" s="12" t="s">
        <v>55</v>
      </c>
      <c r="H147" s="12" t="s">
        <v>20</v>
      </c>
    </row>
    <row r="148" spans="2:8">
      <c r="B148" s="10" t="s">
        <v>149</v>
      </c>
      <c r="C148" s="11">
        <v>9.8100000000000007E-2</v>
      </c>
      <c r="D148" s="11">
        <v>0.1777</v>
      </c>
      <c r="E148" s="11">
        <v>0.13170000000000001</v>
      </c>
      <c r="F148" s="11">
        <v>0.26860000000000001</v>
      </c>
      <c r="G148" s="12" t="s">
        <v>50</v>
      </c>
      <c r="H148" s="12" t="s">
        <v>20</v>
      </c>
    </row>
    <row r="149" spans="2:8">
      <c r="B149" s="10" t="s">
        <v>150</v>
      </c>
      <c r="C149" s="11">
        <v>9.1999999999999998E-3</v>
      </c>
      <c r="D149" s="11">
        <v>5.8400000000000001E-2</v>
      </c>
      <c r="E149" s="11">
        <v>1.24E-2</v>
      </c>
      <c r="F149" s="11">
        <v>0.35</v>
      </c>
      <c r="G149" s="12" t="s">
        <v>53</v>
      </c>
      <c r="H149" s="12" t="s">
        <v>20</v>
      </c>
    </row>
    <row r="150" spans="2:8">
      <c r="B150" s="10" t="s">
        <v>151</v>
      </c>
      <c r="C150" s="11">
        <v>0</v>
      </c>
      <c r="D150" s="12" t="s">
        <v>20</v>
      </c>
      <c r="E150" s="12" t="s">
        <v>20</v>
      </c>
      <c r="F150" s="11">
        <v>0</v>
      </c>
      <c r="G150" s="12" t="s">
        <v>22</v>
      </c>
      <c r="H150" s="12" t="s">
        <v>20</v>
      </c>
    </row>
    <row r="151" spans="2:8">
      <c r="B151" s="10" t="s">
        <v>152</v>
      </c>
      <c r="C151" s="11">
        <v>2.3900000000000001E-2</v>
      </c>
      <c r="D151" s="11">
        <v>7.8100000000000003E-2</v>
      </c>
      <c r="E151" s="11">
        <v>3.2099999999999997E-2</v>
      </c>
      <c r="F151" s="11">
        <v>0.15</v>
      </c>
      <c r="G151" s="12" t="s">
        <v>117</v>
      </c>
      <c r="H151" s="12" t="s">
        <v>20</v>
      </c>
    </row>
    <row r="152" spans="2:8">
      <c r="B152" s="10" t="s">
        <v>153</v>
      </c>
      <c r="C152" s="11">
        <v>2.07E-2</v>
      </c>
      <c r="D152" s="11">
        <v>7.3800000000000004E-2</v>
      </c>
      <c r="E152" s="11">
        <v>2.7799999999999998E-2</v>
      </c>
      <c r="F152" s="11">
        <v>0.3</v>
      </c>
      <c r="G152" s="12" t="s">
        <v>24</v>
      </c>
      <c r="H152" s="11">
        <v>1.6799999999999999E-2</v>
      </c>
    </row>
    <row r="153" spans="2:8">
      <c r="B153" s="10" t="s">
        <v>154</v>
      </c>
      <c r="C153" s="11">
        <v>9.5999999999999992E-3</v>
      </c>
      <c r="D153" s="11">
        <v>5.8900000000000001E-2</v>
      </c>
      <c r="E153" s="11">
        <v>5.8900000000000001E-2</v>
      </c>
      <c r="F153" s="11">
        <v>0.24709999999999999</v>
      </c>
      <c r="G153" s="12" t="s">
        <v>22</v>
      </c>
      <c r="H153" s="12" t="s">
        <v>20</v>
      </c>
    </row>
    <row r="154" spans="2:8">
      <c r="B154" s="10" t="s">
        <v>155</v>
      </c>
      <c r="C154" s="11">
        <v>7.0800000000000002E-2</v>
      </c>
      <c r="D154" s="11">
        <v>0.1411</v>
      </c>
      <c r="E154" s="11">
        <v>9.5100000000000004E-2</v>
      </c>
      <c r="F154" s="11">
        <v>0.12</v>
      </c>
      <c r="G154" s="12" t="s">
        <v>26</v>
      </c>
      <c r="H154" s="12" t="s">
        <v>20</v>
      </c>
    </row>
    <row r="155" spans="2:8">
      <c r="B155" s="10" t="s">
        <v>156</v>
      </c>
      <c r="C155" s="11">
        <v>7.0800000000000002E-2</v>
      </c>
      <c r="D155" s="11">
        <v>0.1411</v>
      </c>
      <c r="E155" s="11">
        <v>9.5100000000000004E-2</v>
      </c>
      <c r="F155" s="11">
        <v>0.25</v>
      </c>
      <c r="G155" s="12" t="s">
        <v>26</v>
      </c>
      <c r="H155" s="11">
        <v>4.02E-2</v>
      </c>
    </row>
    <row r="156" spans="2:8">
      <c r="B156" s="10" t="s">
        <v>157</v>
      </c>
      <c r="C156" s="11">
        <v>4.9000000000000002E-2</v>
      </c>
      <c r="D156" s="11">
        <v>0.1118</v>
      </c>
      <c r="E156" s="11">
        <v>6.5799999999999997E-2</v>
      </c>
      <c r="F156" s="11">
        <v>0.15</v>
      </c>
      <c r="G156" s="12" t="s">
        <v>19</v>
      </c>
      <c r="H156" s="12" t="s">
        <v>20</v>
      </c>
    </row>
    <row r="157" spans="2:8">
      <c r="B157" s="10" t="s">
        <v>158</v>
      </c>
      <c r="C157" s="11">
        <v>2.3900000000000001E-2</v>
      </c>
      <c r="D157" s="11">
        <v>7.8100000000000003E-2</v>
      </c>
      <c r="E157" s="11">
        <v>3.2099999999999997E-2</v>
      </c>
      <c r="F157" s="11">
        <v>0.2853</v>
      </c>
      <c r="G157" s="12" t="s">
        <v>117</v>
      </c>
      <c r="H157" s="12" t="s">
        <v>20</v>
      </c>
    </row>
    <row r="158" spans="2:8">
      <c r="B158" s="10" t="s">
        <v>159</v>
      </c>
      <c r="C158" s="11">
        <v>2.7300000000000001E-2</v>
      </c>
      <c r="D158" s="11">
        <v>8.2600000000000007E-2</v>
      </c>
      <c r="E158" s="11">
        <v>3.6600000000000001E-2</v>
      </c>
      <c r="F158" s="11">
        <v>0.32</v>
      </c>
      <c r="G158" s="12" t="s">
        <v>39</v>
      </c>
      <c r="H158" s="11">
        <v>1.9E-2</v>
      </c>
    </row>
    <row r="159" spans="2:8">
      <c r="B159" s="10" t="s">
        <v>160</v>
      </c>
      <c r="C159" s="11">
        <v>9.8100000000000007E-2</v>
      </c>
      <c r="D159" s="11">
        <v>0.1777</v>
      </c>
      <c r="E159" s="11">
        <v>0.13170000000000001</v>
      </c>
      <c r="F159" s="11">
        <v>0.32</v>
      </c>
      <c r="G159" s="12" t="s">
        <v>50</v>
      </c>
      <c r="H159" s="12" t="s">
        <v>20</v>
      </c>
    </row>
    <row r="160" spans="2:8">
      <c r="B160" s="13" t="s">
        <v>161</v>
      </c>
      <c r="C160" s="11">
        <v>0.109</v>
      </c>
      <c r="D160" s="11">
        <v>0.1923</v>
      </c>
      <c r="E160" s="11">
        <v>0.14630000000000001</v>
      </c>
      <c r="F160" s="11">
        <v>0.25</v>
      </c>
      <c r="G160" s="12" t="s">
        <v>22</v>
      </c>
      <c r="H160" s="12" t="s">
        <v>20</v>
      </c>
    </row>
    <row r="161" spans="2:8">
      <c r="B161" s="10" t="s">
        <v>162</v>
      </c>
      <c r="C161" s="11">
        <v>4.9000000000000002E-2</v>
      </c>
      <c r="D161" s="11">
        <v>0.1118</v>
      </c>
      <c r="E161" s="11">
        <v>6.5799999999999997E-2</v>
      </c>
      <c r="F161" s="11">
        <v>0.32</v>
      </c>
      <c r="G161" s="12" t="s">
        <v>19</v>
      </c>
      <c r="H161" s="11">
        <v>2.1000000000000001E-2</v>
      </c>
    </row>
    <row r="162" spans="2:8">
      <c r="B162" s="10" t="s">
        <v>163</v>
      </c>
      <c r="C162" s="11">
        <v>0</v>
      </c>
      <c r="D162" s="11">
        <v>4.5999999999999999E-2</v>
      </c>
      <c r="E162" s="11">
        <v>0</v>
      </c>
      <c r="F162" s="11">
        <v>0.25800000000000001</v>
      </c>
      <c r="G162" s="12" t="s">
        <v>35</v>
      </c>
      <c r="H162" s="11">
        <v>2.3999999999999998E-3</v>
      </c>
    </row>
    <row r="163" spans="2:8">
      <c r="B163" s="10" t="s">
        <v>164</v>
      </c>
      <c r="C163" s="11">
        <v>0.10539999999999999</v>
      </c>
      <c r="D163" s="11">
        <v>0.1875</v>
      </c>
      <c r="E163" s="11">
        <v>0.1875</v>
      </c>
      <c r="F163" s="11">
        <v>0.27250000000000002</v>
      </c>
      <c r="G163" s="12" t="s">
        <v>22</v>
      </c>
      <c r="H163" s="12" t="s">
        <v>20</v>
      </c>
    </row>
    <row r="164" spans="2:8">
      <c r="B164" s="10" t="s">
        <v>165</v>
      </c>
      <c r="C164" s="11">
        <v>0</v>
      </c>
      <c r="D164" s="11">
        <v>4.5999999999999999E-2</v>
      </c>
      <c r="E164" s="11">
        <v>0</v>
      </c>
      <c r="F164" s="11">
        <v>0.28000000000000003</v>
      </c>
      <c r="G164" s="12" t="s">
        <v>35</v>
      </c>
      <c r="H164" s="11">
        <v>2.8999999999999998E-3</v>
      </c>
    </row>
    <row r="165" spans="2:8">
      <c r="B165" s="10" t="s">
        <v>166</v>
      </c>
      <c r="C165" s="11">
        <v>7.0800000000000002E-2</v>
      </c>
      <c r="D165" s="11">
        <v>0.1411</v>
      </c>
      <c r="E165" s="11">
        <v>9.5100000000000004E-2</v>
      </c>
      <c r="F165" s="11">
        <v>0.3</v>
      </c>
      <c r="G165" s="12" t="s">
        <v>26</v>
      </c>
      <c r="H165" s="11">
        <v>4.8899999999999999E-2</v>
      </c>
    </row>
    <row r="166" spans="2:8">
      <c r="B166" s="10" t="s">
        <v>167</v>
      </c>
      <c r="C166" s="11">
        <v>9.8100000000000007E-2</v>
      </c>
      <c r="D166" s="11">
        <v>0.1777</v>
      </c>
      <c r="E166" s="11">
        <v>0.13170000000000001</v>
      </c>
      <c r="F166" s="11">
        <v>0.26860000000000001</v>
      </c>
      <c r="G166" s="12" t="s">
        <v>50</v>
      </c>
      <c r="H166" s="12" t="s">
        <v>20</v>
      </c>
    </row>
    <row r="167" spans="2:8">
      <c r="B167" s="10" t="s">
        <v>168</v>
      </c>
      <c r="C167" s="11">
        <v>8.1699999999999995E-2</v>
      </c>
      <c r="D167" s="11">
        <v>0.15570000000000001</v>
      </c>
      <c r="E167" s="11">
        <v>0.10970000000000001</v>
      </c>
      <c r="F167" s="11">
        <v>0.3</v>
      </c>
      <c r="G167" s="12" t="s">
        <v>55</v>
      </c>
      <c r="H167" s="11">
        <v>6.4399999999999999E-2</v>
      </c>
    </row>
    <row r="168" spans="2:8">
      <c r="B168" s="10" t="s">
        <v>169</v>
      </c>
      <c r="C168" s="11">
        <v>0</v>
      </c>
      <c r="D168" s="11">
        <v>4.5999999999999999E-2</v>
      </c>
      <c r="E168" s="11">
        <v>0</v>
      </c>
      <c r="F168" s="11">
        <v>0.22</v>
      </c>
      <c r="G168" s="12" t="s">
        <v>35</v>
      </c>
      <c r="H168" s="11">
        <v>2.3999999999999998E-3</v>
      </c>
    </row>
    <row r="169" spans="2:8">
      <c r="B169" s="10" t="s">
        <v>170</v>
      </c>
      <c r="C169" s="11">
        <v>2.7300000000000001E-2</v>
      </c>
      <c r="D169" s="11">
        <v>8.2600000000000007E-2</v>
      </c>
      <c r="E169" s="11">
        <v>3.6600000000000001E-2</v>
      </c>
      <c r="F169" s="11">
        <v>0.15</v>
      </c>
      <c r="G169" s="12" t="s">
        <v>39</v>
      </c>
      <c r="H169" s="11">
        <v>1.9199999999999998E-2</v>
      </c>
    </row>
    <row r="170" spans="2:8">
      <c r="B170" s="10" t="s">
        <v>171</v>
      </c>
      <c r="C170" s="11">
        <v>0.109</v>
      </c>
      <c r="D170" s="11">
        <v>0.1923</v>
      </c>
      <c r="E170" s="11">
        <v>0.14630000000000001</v>
      </c>
      <c r="F170" s="11">
        <v>0.28999999999999998</v>
      </c>
      <c r="G170" s="12" t="s">
        <v>88</v>
      </c>
      <c r="H170" s="11">
        <v>0.41039999999999999</v>
      </c>
    </row>
    <row r="171" spans="2:8">
      <c r="B171" s="10" t="s">
        <v>172</v>
      </c>
      <c r="C171" s="11">
        <v>1.61E-2</v>
      </c>
      <c r="D171" s="11">
        <v>6.7599999999999993E-2</v>
      </c>
      <c r="E171" s="11">
        <v>6.7599999999999993E-2</v>
      </c>
      <c r="F171" s="11">
        <v>0.18759999999999999</v>
      </c>
      <c r="G171" s="12" t="s">
        <v>22</v>
      </c>
      <c r="H171" s="12" t="s">
        <v>20</v>
      </c>
    </row>
    <row r="172" spans="2:8">
      <c r="B172" s="10" t="s">
        <v>173</v>
      </c>
      <c r="C172" s="11">
        <v>2.07E-2</v>
      </c>
      <c r="D172" s="11">
        <v>7.3800000000000004E-2</v>
      </c>
      <c r="E172" s="11">
        <v>2.7799999999999998E-2</v>
      </c>
      <c r="F172" s="11">
        <v>0.25</v>
      </c>
      <c r="G172" s="12" t="s">
        <v>24</v>
      </c>
      <c r="H172" s="11">
        <v>2.3099999999999999E-2</v>
      </c>
    </row>
    <row r="173" spans="2:8">
      <c r="B173" s="10" t="s">
        <v>174</v>
      </c>
      <c r="C173" s="11">
        <v>5.9900000000000002E-2</v>
      </c>
      <c r="D173" s="11">
        <v>0.12640000000000001</v>
      </c>
      <c r="E173" s="11">
        <v>8.0399999999999999E-2</v>
      </c>
      <c r="F173" s="11">
        <v>0.3</v>
      </c>
      <c r="G173" s="12" t="s">
        <v>42</v>
      </c>
      <c r="H173" s="12" t="s">
        <v>20</v>
      </c>
    </row>
    <row r="174" spans="2:8">
      <c r="B174" s="10" t="s">
        <v>175</v>
      </c>
      <c r="C174" s="11">
        <v>2.7300000000000001E-2</v>
      </c>
      <c r="D174" s="11">
        <v>8.2600000000000007E-2</v>
      </c>
      <c r="E174" s="11">
        <v>3.6600000000000001E-2</v>
      </c>
      <c r="F174" s="11">
        <v>0.1</v>
      </c>
      <c r="G174" s="12" t="s">
        <v>39</v>
      </c>
      <c r="H174" s="12" t="s">
        <v>20</v>
      </c>
    </row>
    <row r="175" spans="2:8">
      <c r="B175" s="10" t="s">
        <v>176</v>
      </c>
      <c r="C175" s="11">
        <v>1.7399999999999999E-2</v>
      </c>
      <c r="D175" s="11">
        <v>6.9400000000000003E-2</v>
      </c>
      <c r="E175" s="11">
        <v>2.3400000000000001E-2</v>
      </c>
      <c r="F175" s="11">
        <v>0.29499999999999998</v>
      </c>
      <c r="G175" s="12" t="s">
        <v>64</v>
      </c>
      <c r="H175" s="11">
        <v>1.37E-2</v>
      </c>
    </row>
    <row r="176" spans="2:8">
      <c r="B176" s="10" t="s">
        <v>177</v>
      </c>
      <c r="C176" s="11">
        <v>2.07E-2</v>
      </c>
      <c r="D176" s="11">
        <v>7.3800000000000004E-2</v>
      </c>
      <c r="E176" s="11">
        <v>2.7799999999999998E-2</v>
      </c>
      <c r="F176" s="11">
        <v>0.25</v>
      </c>
      <c r="G176" s="12" t="s">
        <v>24</v>
      </c>
      <c r="H176" s="11">
        <v>1.18E-2</v>
      </c>
    </row>
    <row r="177" spans="2:8">
      <c r="B177" s="10" t="s">
        <v>178</v>
      </c>
      <c r="C177" s="11">
        <v>9.1999999999999998E-3</v>
      </c>
      <c r="D177" s="11">
        <v>5.8400000000000001E-2</v>
      </c>
      <c r="E177" s="11">
        <v>1.24E-2</v>
      </c>
      <c r="F177" s="11">
        <v>0.19</v>
      </c>
      <c r="G177" s="12" t="s">
        <v>53</v>
      </c>
      <c r="H177" s="11">
        <v>1.06E-2</v>
      </c>
    </row>
    <row r="178" spans="2:8">
      <c r="B178" s="10" t="s">
        <v>179</v>
      </c>
      <c r="C178" s="11">
        <v>1.3100000000000001E-2</v>
      </c>
      <c r="D178" s="11">
        <v>6.3500000000000001E-2</v>
      </c>
      <c r="E178" s="11">
        <v>1.7500000000000002E-2</v>
      </c>
      <c r="F178" s="11">
        <v>0.21</v>
      </c>
      <c r="G178" s="12" t="s">
        <v>58</v>
      </c>
      <c r="H178" s="11">
        <v>7.4999999999999997E-3</v>
      </c>
    </row>
    <row r="179" spans="2:8">
      <c r="B179" s="10" t="s">
        <v>180</v>
      </c>
      <c r="C179" s="11">
        <v>6.4999999999999997E-3</v>
      </c>
      <c r="D179" s="11">
        <v>5.4800000000000001E-2</v>
      </c>
      <c r="E179" s="11">
        <v>8.8000000000000005E-3</v>
      </c>
      <c r="F179" s="11">
        <v>0.1</v>
      </c>
      <c r="G179" s="12" t="s">
        <v>48</v>
      </c>
      <c r="H179" s="11">
        <v>8.3000000000000001E-3</v>
      </c>
    </row>
    <row r="180" spans="2:8">
      <c r="B180" s="10" t="s">
        <v>181</v>
      </c>
      <c r="C180" s="11">
        <v>1.3100000000000001E-2</v>
      </c>
      <c r="D180" s="11">
        <v>6.3500000000000001E-2</v>
      </c>
      <c r="E180" s="11">
        <v>1.7500000000000002E-2</v>
      </c>
      <c r="F180" s="11">
        <v>0</v>
      </c>
      <c r="G180" s="12" t="s">
        <v>58</v>
      </c>
      <c r="H180" s="12" t="s">
        <v>20</v>
      </c>
    </row>
    <row r="181" spans="2:8">
      <c r="B181" s="10" t="s">
        <v>182</v>
      </c>
      <c r="C181" s="11">
        <v>1.2500000000000001E-2</v>
      </c>
      <c r="D181" s="11">
        <v>6.2799999999999995E-2</v>
      </c>
      <c r="E181" s="11">
        <v>6.2799999999999995E-2</v>
      </c>
      <c r="F181" s="11">
        <v>0.2576</v>
      </c>
      <c r="G181" s="12" t="s">
        <v>22</v>
      </c>
      <c r="H181" s="12" t="s">
        <v>20</v>
      </c>
    </row>
    <row r="182" spans="2:8">
      <c r="B182" s="10" t="s">
        <v>183</v>
      </c>
      <c r="C182" s="11">
        <v>2.3900000000000001E-2</v>
      </c>
      <c r="D182" s="11">
        <v>7.8100000000000003E-2</v>
      </c>
      <c r="E182" s="11">
        <v>3.2099999999999997E-2</v>
      </c>
      <c r="F182" s="11">
        <v>0.16</v>
      </c>
      <c r="G182" s="12" t="s">
        <v>117</v>
      </c>
      <c r="H182" s="11">
        <v>2.3099999999999999E-2</v>
      </c>
    </row>
    <row r="183" spans="2:8">
      <c r="B183" s="10" t="s">
        <v>184</v>
      </c>
      <c r="C183" s="11">
        <v>4.9000000000000002E-2</v>
      </c>
      <c r="D183" s="11">
        <v>0.1118</v>
      </c>
      <c r="E183" s="11">
        <v>6.5799999999999997E-2</v>
      </c>
      <c r="F183" s="11">
        <v>0.25</v>
      </c>
      <c r="G183" s="12" t="s">
        <v>22</v>
      </c>
      <c r="H183" s="12" t="s">
        <v>20</v>
      </c>
    </row>
    <row r="184" spans="2:8">
      <c r="B184" s="10" t="s">
        <v>185</v>
      </c>
      <c r="C184" s="11">
        <v>5.9900000000000002E-2</v>
      </c>
      <c r="D184" s="11">
        <v>0.12640000000000001</v>
      </c>
      <c r="E184" s="11">
        <v>8.0399999999999999E-2</v>
      </c>
      <c r="F184" s="11">
        <v>0.3</v>
      </c>
      <c r="G184" s="12" t="s">
        <v>42</v>
      </c>
      <c r="H184" s="11">
        <v>5.5300000000000002E-2</v>
      </c>
    </row>
    <row r="185" spans="2:8">
      <c r="B185" s="10" t="s">
        <v>186</v>
      </c>
      <c r="C185" s="11">
        <v>0.10539999999999999</v>
      </c>
      <c r="D185" s="11">
        <v>0.1875</v>
      </c>
      <c r="E185" s="11">
        <v>0.1875</v>
      </c>
      <c r="F185" s="11">
        <v>0.27250000000000002</v>
      </c>
      <c r="G185" s="12" t="s">
        <v>22</v>
      </c>
      <c r="H185" s="12" t="s">
        <v>20</v>
      </c>
    </row>
    <row r="186" spans="2:8">
      <c r="B186" s="10" t="s">
        <v>187</v>
      </c>
      <c r="C186" s="11">
        <v>7.7000000000000002E-3</v>
      </c>
      <c r="D186" s="11">
        <v>5.6300000000000003E-2</v>
      </c>
      <c r="E186" s="11">
        <v>1.03E-2</v>
      </c>
      <c r="F186" s="11">
        <v>0.2</v>
      </c>
      <c r="G186" s="12" t="s">
        <v>74</v>
      </c>
      <c r="H186" s="11">
        <v>8.5000000000000006E-3</v>
      </c>
    </row>
    <row r="187" spans="2:8">
      <c r="B187" s="10" t="s">
        <v>188</v>
      </c>
      <c r="C187" s="11">
        <v>3.9199999999999999E-2</v>
      </c>
      <c r="D187" s="11">
        <v>9.8599999999999993E-2</v>
      </c>
      <c r="E187" s="11">
        <v>5.2600000000000001E-2</v>
      </c>
      <c r="F187" s="11">
        <v>0.3</v>
      </c>
      <c r="G187" s="12" t="s">
        <v>32</v>
      </c>
      <c r="H187" s="11">
        <v>6.8900000000000003E-2</v>
      </c>
    </row>
    <row r="188" spans="2:8">
      <c r="B188" s="10" t="s">
        <v>189</v>
      </c>
      <c r="C188" s="11">
        <v>3.2800000000000003E-2</v>
      </c>
      <c r="D188" s="11">
        <v>0.09</v>
      </c>
      <c r="E188" s="11">
        <v>4.3999999999999997E-2</v>
      </c>
      <c r="F188" s="11">
        <v>0.15</v>
      </c>
      <c r="G188" s="12" t="s">
        <v>60</v>
      </c>
      <c r="H188" s="11">
        <v>2.86E-2</v>
      </c>
    </row>
    <row r="189" spans="2:8">
      <c r="B189" s="10" t="s">
        <v>190</v>
      </c>
      <c r="C189" s="11">
        <v>2.7300000000000001E-2</v>
      </c>
      <c r="D189" s="11">
        <v>8.2600000000000007E-2</v>
      </c>
      <c r="E189" s="11">
        <v>3.6600000000000001E-2</v>
      </c>
      <c r="F189" s="11">
        <v>0</v>
      </c>
      <c r="G189" s="12" t="s">
        <v>39</v>
      </c>
      <c r="H189" s="12" t="s">
        <v>20</v>
      </c>
    </row>
    <row r="190" spans="2:8">
      <c r="B190" s="13" t="s">
        <v>191</v>
      </c>
      <c r="C190" s="11">
        <v>0.109</v>
      </c>
      <c r="D190" s="11">
        <v>0.1923</v>
      </c>
      <c r="E190" s="11">
        <v>0.14630000000000001</v>
      </c>
      <c r="F190" s="11">
        <v>0.3</v>
      </c>
      <c r="G190" s="12" t="s">
        <v>22</v>
      </c>
      <c r="H190" s="12" t="s">
        <v>20</v>
      </c>
    </row>
    <row r="191" spans="2:8">
      <c r="B191" s="10" t="s">
        <v>192</v>
      </c>
      <c r="C191" s="11">
        <v>0</v>
      </c>
      <c r="D191" s="11">
        <v>4.5999999999999999E-2</v>
      </c>
      <c r="E191" s="11">
        <v>0</v>
      </c>
      <c r="F191" s="11">
        <v>0.17</v>
      </c>
      <c r="G191" s="12" t="s">
        <v>35</v>
      </c>
      <c r="H191" s="12" t="s">
        <v>20</v>
      </c>
    </row>
    <row r="192" spans="2:8">
      <c r="B192" s="10" t="s">
        <v>193</v>
      </c>
      <c r="C192" s="11">
        <v>9.1999999999999998E-3</v>
      </c>
      <c r="D192" s="11">
        <v>5.8400000000000001E-2</v>
      </c>
      <c r="E192" s="11">
        <v>1.24E-2</v>
      </c>
      <c r="F192" s="11">
        <v>0.21</v>
      </c>
      <c r="G192" s="12" t="s">
        <v>53</v>
      </c>
      <c r="H192" s="11">
        <v>6.0000000000000001E-3</v>
      </c>
    </row>
    <row r="193" spans="2:8">
      <c r="B193" s="10" t="s">
        <v>194</v>
      </c>
      <c r="C193" s="11">
        <v>1.3100000000000001E-2</v>
      </c>
      <c r="D193" s="11">
        <v>6.3500000000000001E-2</v>
      </c>
      <c r="E193" s="11">
        <v>1.7500000000000002E-2</v>
      </c>
      <c r="F193" s="11">
        <v>0.19</v>
      </c>
      <c r="G193" s="12" t="s">
        <v>58</v>
      </c>
      <c r="H193" s="11">
        <v>7.6E-3</v>
      </c>
    </row>
    <row r="194" spans="2:8">
      <c r="B194" s="10" t="s">
        <v>195</v>
      </c>
      <c r="C194" s="11">
        <v>8.1699999999999995E-2</v>
      </c>
      <c r="D194" s="11">
        <v>0.15570000000000001</v>
      </c>
      <c r="E194" s="11">
        <v>0.10970000000000001</v>
      </c>
      <c r="F194" s="11">
        <v>0.3</v>
      </c>
      <c r="G194" s="12" t="s">
        <v>55</v>
      </c>
      <c r="H194" s="12" t="s">
        <v>20</v>
      </c>
    </row>
    <row r="195" spans="2:8">
      <c r="B195" s="13" t="s">
        <v>196</v>
      </c>
      <c r="C195" s="11">
        <v>0.13070000000000001</v>
      </c>
      <c r="D195" s="11">
        <v>0.2215</v>
      </c>
      <c r="E195" s="11">
        <v>0.17549999999999999</v>
      </c>
      <c r="F195" s="11">
        <v>0.29149999999999998</v>
      </c>
      <c r="G195" s="12" t="s">
        <v>22</v>
      </c>
      <c r="H195" s="12" t="s">
        <v>20</v>
      </c>
    </row>
    <row r="196" spans="2:8">
      <c r="B196" s="10" t="s">
        <v>197</v>
      </c>
      <c r="C196" s="11">
        <v>3.2800000000000003E-2</v>
      </c>
      <c r="D196" s="11">
        <v>0.09</v>
      </c>
      <c r="E196" s="11">
        <v>4.3999999999999997E-2</v>
      </c>
      <c r="F196" s="11">
        <v>0.27</v>
      </c>
      <c r="G196" s="12" t="s">
        <v>60</v>
      </c>
      <c r="H196" s="11">
        <v>3.1600000000000003E-2</v>
      </c>
    </row>
    <row r="197" spans="2:8">
      <c r="B197" s="10" t="s">
        <v>198</v>
      </c>
      <c r="C197" s="11">
        <v>5.4000000000000003E-3</v>
      </c>
      <c r="D197" s="11">
        <v>5.3199999999999997E-2</v>
      </c>
      <c r="E197" s="11">
        <v>7.1999999999999998E-3</v>
      </c>
      <c r="F197" s="11">
        <v>0.25</v>
      </c>
      <c r="G197" s="12" t="s">
        <v>17</v>
      </c>
      <c r="H197" s="12" t="s">
        <v>20</v>
      </c>
    </row>
    <row r="198" spans="2:8">
      <c r="B198" s="10" t="s">
        <v>199</v>
      </c>
      <c r="C198" s="11">
        <v>1.7399999999999999E-2</v>
      </c>
      <c r="D198" s="11">
        <v>6.9400000000000003E-2</v>
      </c>
      <c r="E198" s="11">
        <v>2.3400000000000001E-2</v>
      </c>
      <c r="F198" s="11">
        <v>0.25</v>
      </c>
      <c r="G198" s="12" t="s">
        <v>64</v>
      </c>
      <c r="H198" s="11">
        <v>7.7999999999999996E-3</v>
      </c>
    </row>
    <row r="199" spans="2:8">
      <c r="B199" s="10" t="s">
        <v>200</v>
      </c>
      <c r="C199" s="11">
        <v>0.13070000000000001</v>
      </c>
      <c r="D199" s="11">
        <v>0.2215</v>
      </c>
      <c r="E199" s="11">
        <v>0.17549999999999999</v>
      </c>
      <c r="F199" s="11">
        <v>0.24</v>
      </c>
      <c r="G199" s="12" t="s">
        <v>30</v>
      </c>
      <c r="H199" s="11">
        <v>0.59360000000000002</v>
      </c>
    </row>
    <row r="200" spans="2:8">
      <c r="B200" s="10" t="s">
        <v>201</v>
      </c>
      <c r="C200" s="11">
        <v>3.2800000000000003E-2</v>
      </c>
      <c r="D200" s="11">
        <v>0.09</v>
      </c>
      <c r="E200" s="11">
        <v>4.3999999999999997E-2</v>
      </c>
      <c r="F200" s="11">
        <v>0.2853</v>
      </c>
      <c r="G200" s="12" t="s">
        <v>60</v>
      </c>
      <c r="H200" s="12" t="s">
        <v>20</v>
      </c>
    </row>
    <row r="201" spans="2:8">
      <c r="B201" s="10" t="s">
        <v>202</v>
      </c>
      <c r="C201" s="11">
        <v>7.0800000000000002E-2</v>
      </c>
      <c r="D201" s="11">
        <v>0.1411</v>
      </c>
      <c r="E201" s="11">
        <v>9.5100000000000004E-2</v>
      </c>
      <c r="F201" s="11">
        <v>0.2853</v>
      </c>
      <c r="G201" s="12" t="s">
        <v>26</v>
      </c>
      <c r="H201" s="12" t="s">
        <v>20</v>
      </c>
    </row>
    <row r="202" spans="2:8">
      <c r="B202" s="13" t="s">
        <v>203</v>
      </c>
      <c r="C202" s="11">
        <v>0.17499999999999999</v>
      </c>
      <c r="D202" s="11">
        <v>0.28089999999999998</v>
      </c>
      <c r="E202" s="11">
        <v>0.2349</v>
      </c>
      <c r="F202" s="11">
        <v>0.35</v>
      </c>
      <c r="G202" s="12" t="s">
        <v>22</v>
      </c>
      <c r="H202" s="12" t="s">
        <v>20</v>
      </c>
    </row>
    <row r="203" spans="2:8">
      <c r="B203" s="10" t="s">
        <v>204</v>
      </c>
      <c r="C203" s="11">
        <v>0.109</v>
      </c>
      <c r="D203" s="11">
        <v>0.1923</v>
      </c>
      <c r="E203" s="11">
        <v>0.14630000000000001</v>
      </c>
      <c r="F203" s="11">
        <v>0.36</v>
      </c>
      <c r="G203" s="12" t="s">
        <v>88</v>
      </c>
      <c r="H203" s="12" t="s">
        <v>20</v>
      </c>
    </row>
    <row r="204" spans="2:8">
      <c r="B204" s="10" t="s">
        <v>205</v>
      </c>
      <c r="C204" s="11">
        <v>7.0800000000000002E-2</v>
      </c>
      <c r="D204" s="11">
        <v>0.1411</v>
      </c>
      <c r="E204" s="11">
        <v>9.5100000000000004E-2</v>
      </c>
      <c r="F204" s="11">
        <v>0.27500000000000002</v>
      </c>
      <c r="G204" s="12" t="s">
        <v>26</v>
      </c>
      <c r="H204" s="12" t="s">
        <v>20</v>
      </c>
    </row>
    <row r="205" spans="2:8">
      <c r="B205" s="10" t="s">
        <v>206</v>
      </c>
      <c r="C205" s="11">
        <v>0</v>
      </c>
      <c r="D205" s="11">
        <v>4.5999999999999999E-2</v>
      </c>
      <c r="E205" s="11">
        <v>0</v>
      </c>
      <c r="F205" s="11">
        <v>0.20599999999999999</v>
      </c>
      <c r="G205" s="12" t="s">
        <v>35</v>
      </c>
      <c r="H205" s="11">
        <v>2.8E-3</v>
      </c>
    </row>
    <row r="206" spans="2:8">
      <c r="B206" s="10" t="s">
        <v>207</v>
      </c>
      <c r="C206" s="11">
        <v>0</v>
      </c>
      <c r="D206" s="11">
        <v>4.5999999999999999E-2</v>
      </c>
      <c r="E206" s="11">
        <v>0</v>
      </c>
      <c r="F206" s="11">
        <v>0.14599999999999999</v>
      </c>
      <c r="G206" s="12" t="s">
        <v>35</v>
      </c>
      <c r="H206" s="11">
        <v>2.2000000000000001E-3</v>
      </c>
    </row>
    <row r="207" spans="2:8">
      <c r="B207" s="13" t="s">
        <v>208</v>
      </c>
      <c r="C207" s="11">
        <v>0.17499999999999999</v>
      </c>
      <c r="D207" s="11">
        <v>0.28089999999999998</v>
      </c>
      <c r="E207" s="11">
        <v>0.2349</v>
      </c>
      <c r="F207" s="11">
        <v>0.28000000000000003</v>
      </c>
      <c r="G207" s="12" t="s">
        <v>22</v>
      </c>
      <c r="H207" s="12" t="s">
        <v>20</v>
      </c>
    </row>
    <row r="208" spans="2:8">
      <c r="B208" s="10" t="s">
        <v>209</v>
      </c>
      <c r="C208" s="11">
        <v>6.4999999999999997E-3</v>
      </c>
      <c r="D208" s="11">
        <v>5.4800000000000001E-2</v>
      </c>
      <c r="E208" s="11">
        <v>8.8000000000000005E-3</v>
      </c>
      <c r="F208" s="11">
        <v>0.2</v>
      </c>
      <c r="G208" s="12" t="s">
        <v>48</v>
      </c>
      <c r="H208" s="12" t="s">
        <v>20</v>
      </c>
    </row>
    <row r="209" spans="2:8">
      <c r="B209" s="10" t="s">
        <v>210</v>
      </c>
      <c r="C209" s="11">
        <v>7.0800000000000002E-2</v>
      </c>
      <c r="D209" s="11">
        <v>0.1411</v>
      </c>
      <c r="E209" s="11">
        <v>9.5100000000000004E-2</v>
      </c>
      <c r="F209" s="11">
        <v>0.18</v>
      </c>
      <c r="G209" s="12" t="s">
        <v>26</v>
      </c>
      <c r="H209" s="12" t="s">
        <v>20</v>
      </c>
    </row>
    <row r="210" spans="2:8">
      <c r="B210" s="10" t="s">
        <v>211</v>
      </c>
      <c r="C210" s="11">
        <v>5.9900000000000002E-2</v>
      </c>
      <c r="D210" s="11">
        <v>0.12640000000000001</v>
      </c>
      <c r="E210" s="11">
        <v>8.0399999999999999E-2</v>
      </c>
      <c r="F210" s="11">
        <v>0.3</v>
      </c>
      <c r="G210" s="12" t="s">
        <v>42</v>
      </c>
      <c r="H210" s="12" t="s">
        <v>20</v>
      </c>
    </row>
    <row r="211" spans="2:8">
      <c r="B211" s="10" t="s">
        <v>212</v>
      </c>
      <c r="C211" s="11">
        <v>1.7399999999999999E-2</v>
      </c>
      <c r="D211" s="11">
        <v>6.9400000000000003E-2</v>
      </c>
      <c r="E211" s="11">
        <v>2.3400000000000001E-2</v>
      </c>
      <c r="F211" s="11">
        <v>0.2</v>
      </c>
      <c r="G211" s="12" t="s">
        <v>64</v>
      </c>
      <c r="H211" s="11">
        <v>6.4999999999999997E-3</v>
      </c>
    </row>
    <row r="212" spans="2:8">
      <c r="B212" s="10" t="s">
        <v>213</v>
      </c>
      <c r="C212" s="11">
        <v>7.0800000000000002E-2</v>
      </c>
      <c r="D212" s="11">
        <v>0.1411</v>
      </c>
      <c r="E212" s="11">
        <v>9.5100000000000004E-2</v>
      </c>
      <c r="F212" s="11">
        <v>0.26860000000000001</v>
      </c>
      <c r="G212" s="12" t="s">
        <v>26</v>
      </c>
      <c r="H212" s="12" t="s">
        <v>20</v>
      </c>
    </row>
    <row r="213" spans="2:8">
      <c r="B213" s="10" t="s">
        <v>214</v>
      </c>
      <c r="C213" s="11">
        <v>3.2800000000000003E-2</v>
      </c>
      <c r="D213" s="11">
        <v>0.09</v>
      </c>
      <c r="E213" s="11">
        <v>4.3999999999999997E-2</v>
      </c>
      <c r="F213" s="11">
        <v>0.3</v>
      </c>
      <c r="G213" s="12" t="s">
        <v>60</v>
      </c>
      <c r="H213" s="12" t="s">
        <v>20</v>
      </c>
    </row>
    <row r="214" spans="2:8">
      <c r="B214" s="10" t="s">
        <v>215</v>
      </c>
      <c r="C214" s="11">
        <v>9.8100000000000007E-2</v>
      </c>
      <c r="D214" s="11">
        <v>0.1777</v>
      </c>
      <c r="E214" s="11">
        <v>0.13170000000000001</v>
      </c>
      <c r="F214" s="11">
        <v>0.15</v>
      </c>
      <c r="G214" s="12" t="s">
        <v>50</v>
      </c>
      <c r="H214" s="11">
        <v>9.7799999999999998E-2</v>
      </c>
    </row>
    <row r="215" spans="2:8">
      <c r="B215" s="10" t="s">
        <v>216</v>
      </c>
      <c r="C215" s="11">
        <v>7.0800000000000002E-2</v>
      </c>
      <c r="D215" s="11">
        <v>0.1411</v>
      </c>
      <c r="E215" s="11">
        <v>9.5100000000000004E-2</v>
      </c>
      <c r="F215" s="11">
        <v>0.25</v>
      </c>
      <c r="G215" s="12" t="s">
        <v>26</v>
      </c>
      <c r="H215" s="11">
        <v>3.8600000000000002E-2</v>
      </c>
    </row>
    <row r="216" spans="2:8">
      <c r="B216" s="14" t="s">
        <v>217</v>
      </c>
      <c r="C216" s="11">
        <v>1.7399999999999999E-2</v>
      </c>
      <c r="D216" s="11">
        <v>6.9400000000000003E-2</v>
      </c>
      <c r="E216" s="11">
        <v>2.3400000000000001E-2</v>
      </c>
      <c r="F216" s="11">
        <v>0</v>
      </c>
      <c r="G216" s="12" t="s">
        <v>64</v>
      </c>
      <c r="H216" s="12" t="s">
        <v>20</v>
      </c>
    </row>
    <row r="217" spans="2:8">
      <c r="B217" s="10" t="s">
        <v>218</v>
      </c>
      <c r="C217" s="11">
        <v>5.9900000000000002E-2</v>
      </c>
      <c r="D217" s="11">
        <v>0.12640000000000001</v>
      </c>
      <c r="E217" s="11">
        <v>8.0399999999999999E-2</v>
      </c>
      <c r="F217" s="11">
        <v>0.3</v>
      </c>
      <c r="G217" s="12" t="s">
        <v>42</v>
      </c>
      <c r="H217" s="12" t="s">
        <v>20</v>
      </c>
    </row>
    <row r="218" spans="2:8">
      <c r="B218" s="10" t="s">
        <v>219</v>
      </c>
      <c r="C218" s="11">
        <v>0.13070000000000001</v>
      </c>
      <c r="D218" s="11">
        <v>0.2215</v>
      </c>
      <c r="E218" s="11">
        <v>0.17549999999999999</v>
      </c>
      <c r="F218" s="11">
        <v>0.18</v>
      </c>
      <c r="G218" s="12" t="s">
        <v>30</v>
      </c>
      <c r="H218" s="12" t="s">
        <v>20</v>
      </c>
    </row>
    <row r="219" spans="2:8">
      <c r="B219" s="10" t="s">
        <v>220</v>
      </c>
      <c r="C219" s="11">
        <v>5.4000000000000003E-3</v>
      </c>
      <c r="D219" s="11">
        <v>5.3199999999999997E-2</v>
      </c>
      <c r="E219" s="11">
        <v>7.1999999999999998E-3</v>
      </c>
      <c r="F219" s="11">
        <v>0.25</v>
      </c>
      <c r="G219" s="12" t="s">
        <v>17</v>
      </c>
      <c r="H219" s="12" t="s">
        <v>20</v>
      </c>
    </row>
    <row r="220" spans="2:8">
      <c r="B220" s="10" t="s">
        <v>221</v>
      </c>
      <c r="C220" s="11">
        <v>6.4999999999999997E-3</v>
      </c>
      <c r="D220" s="11">
        <v>5.4800000000000001E-2</v>
      </c>
      <c r="E220" s="11">
        <v>8.8000000000000005E-3</v>
      </c>
      <c r="F220" s="11">
        <v>0.25</v>
      </c>
      <c r="G220" s="12" t="s">
        <v>48</v>
      </c>
      <c r="H220" s="11">
        <v>5.1000000000000004E-3</v>
      </c>
    </row>
    <row r="221" spans="2:8">
      <c r="B221" s="10" t="s">
        <v>222</v>
      </c>
      <c r="C221" s="11">
        <v>0</v>
      </c>
      <c r="D221" s="11">
        <v>4.5999999999999999E-2</v>
      </c>
      <c r="E221" s="11">
        <v>0</v>
      </c>
      <c r="F221" s="11">
        <v>0.25</v>
      </c>
      <c r="G221" s="12" t="s">
        <v>35</v>
      </c>
      <c r="H221" s="11">
        <v>5.7999999999999996E-3</v>
      </c>
    </row>
    <row r="222" spans="2:8">
      <c r="B222" s="10" t="s">
        <v>223</v>
      </c>
      <c r="C222" s="11">
        <v>2.07E-2</v>
      </c>
      <c r="D222" s="11">
        <v>7.3800000000000004E-2</v>
      </c>
      <c r="E222" s="11">
        <v>2.7799999999999998E-2</v>
      </c>
      <c r="F222" s="11">
        <v>0.25</v>
      </c>
      <c r="G222" s="12" t="s">
        <v>24</v>
      </c>
      <c r="H222" s="11">
        <v>1.14E-2</v>
      </c>
    </row>
    <row r="223" spans="2:8">
      <c r="B223" s="10" t="s">
        <v>224</v>
      </c>
      <c r="C223" s="11">
        <v>3.9199999999999999E-2</v>
      </c>
      <c r="D223" s="11">
        <v>9.8599999999999993E-2</v>
      </c>
      <c r="E223" s="11">
        <v>5.2600000000000001E-2</v>
      </c>
      <c r="F223" s="11">
        <v>0.15</v>
      </c>
      <c r="G223" s="12" t="s">
        <v>32</v>
      </c>
      <c r="H223" s="12" t="s">
        <v>20</v>
      </c>
    </row>
    <row r="224" spans="2:8">
      <c r="B224" s="10" t="s">
        <v>225</v>
      </c>
      <c r="C224" s="11">
        <v>0.17499999999999999</v>
      </c>
      <c r="D224" s="11">
        <v>0.28089999999999998</v>
      </c>
      <c r="E224" s="11">
        <v>0.2349</v>
      </c>
      <c r="F224" s="11">
        <v>0.34</v>
      </c>
      <c r="G224" s="12" t="s">
        <v>46</v>
      </c>
      <c r="H224" s="11">
        <v>0.1125</v>
      </c>
    </row>
    <row r="225" spans="2:8">
      <c r="B225" s="10" t="s">
        <v>226</v>
      </c>
      <c r="C225" s="11">
        <v>3.2800000000000003E-2</v>
      </c>
      <c r="D225" s="11">
        <v>0.09</v>
      </c>
      <c r="E225" s="11">
        <v>4.3999999999999997E-2</v>
      </c>
      <c r="F225" s="11">
        <v>0.2</v>
      </c>
      <c r="G225" s="12" t="s">
        <v>60</v>
      </c>
      <c r="H225" s="11">
        <v>1.84E-2</v>
      </c>
    </row>
    <row r="226" spans="2:8">
      <c r="B226" s="13" t="s">
        <v>227</v>
      </c>
      <c r="C226" s="11">
        <v>0.109</v>
      </c>
      <c r="D226" s="11">
        <v>0.1923</v>
      </c>
      <c r="E226" s="11">
        <v>0.14630000000000001</v>
      </c>
      <c r="F226" s="11">
        <v>0.2</v>
      </c>
      <c r="G226" s="12" t="s">
        <v>22</v>
      </c>
      <c r="H226" s="12" t="s">
        <v>20</v>
      </c>
    </row>
    <row r="227" spans="2:8">
      <c r="B227" s="10" t="s">
        <v>228</v>
      </c>
      <c r="C227" s="11">
        <v>0.109</v>
      </c>
      <c r="D227" s="11">
        <v>0.1923</v>
      </c>
      <c r="E227" s="11">
        <v>0.14630000000000001</v>
      </c>
      <c r="F227" s="11">
        <v>0.35</v>
      </c>
      <c r="G227" s="12" t="s">
        <v>88</v>
      </c>
      <c r="H227" s="12" t="s">
        <v>20</v>
      </c>
    </row>
    <row r="228" spans="2:8">
      <c r="B228" s="13" t="s">
        <v>229</v>
      </c>
      <c r="C228" s="11">
        <v>9.8100000000000007E-2</v>
      </c>
      <c r="D228" s="11">
        <v>0.1777</v>
      </c>
      <c r="E228" s="11">
        <v>0.13170000000000001</v>
      </c>
      <c r="F228" s="11">
        <v>0.25</v>
      </c>
      <c r="G228" s="12" t="s">
        <v>22</v>
      </c>
      <c r="H228" s="12" t="s">
        <v>20</v>
      </c>
    </row>
  </sheetData>
  <mergeCells count="3">
    <mergeCell ref="B5:C5"/>
    <mergeCell ref="B23:I25"/>
    <mergeCell ref="B11:C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8CFCA-C094-469E-9A48-51764A8DE4CB}">
  <dimension ref="B3:S71"/>
  <sheetViews>
    <sheetView showGridLines="0" workbookViewId="0">
      <selection activeCell="L25" sqref="L25"/>
    </sheetView>
  </sheetViews>
  <sheetFormatPr defaultRowHeight="14.5"/>
  <cols>
    <col min="1" max="1" width="1.90625" customWidth="1"/>
    <col min="2" max="2" width="16.6328125" bestFit="1" customWidth="1"/>
    <col min="3" max="3" width="12" bestFit="1" customWidth="1"/>
    <col min="4" max="4" width="13.81640625" bestFit="1" customWidth="1"/>
    <col min="6" max="6" width="10.36328125" bestFit="1" customWidth="1"/>
    <col min="7" max="7" width="12" bestFit="1" customWidth="1"/>
    <col min="11" max="11" width="25.1796875" bestFit="1" customWidth="1"/>
    <col min="12" max="12" width="11.81640625" bestFit="1" customWidth="1"/>
    <col min="13" max="13" width="13.54296875" bestFit="1" customWidth="1"/>
    <col min="14" max="15" width="11.81640625" bestFit="1" customWidth="1"/>
    <col min="16" max="16" width="12.453125" bestFit="1" customWidth="1"/>
    <col min="17" max="17" width="11.81640625" bestFit="1" customWidth="1"/>
    <col min="18" max="18" width="12.453125" bestFit="1" customWidth="1"/>
    <col min="19" max="19" width="12" bestFit="1" customWidth="1"/>
  </cols>
  <sheetData>
    <row r="3" spans="2:13">
      <c r="B3" s="2" t="s">
        <v>234</v>
      </c>
      <c r="C3" s="3"/>
      <c r="D3" s="3"/>
      <c r="E3" s="3"/>
      <c r="F3" s="3"/>
      <c r="G3" s="3"/>
      <c r="H3" s="3"/>
      <c r="I3" s="3"/>
    </row>
    <row r="5" spans="2:13" ht="16.5">
      <c r="B5" s="134" t="s">
        <v>1</v>
      </c>
      <c r="C5" s="134"/>
      <c r="D5" s="1" t="s">
        <v>2</v>
      </c>
      <c r="K5" s="32" t="s">
        <v>241</v>
      </c>
      <c r="L5" s="27"/>
      <c r="M5" s="27"/>
    </row>
    <row r="6" spans="2:13" ht="16.5">
      <c r="B6" s="4"/>
      <c r="C6" s="4"/>
      <c r="D6" s="4"/>
      <c r="E6" s="4"/>
      <c r="F6" s="4"/>
      <c r="G6" s="4"/>
      <c r="H6" s="4"/>
      <c r="I6" s="4"/>
      <c r="K6" s="27" t="s">
        <v>242</v>
      </c>
      <c r="L6" s="27"/>
      <c r="M6" s="27">
        <f>SLOPE(D12:D71,H12:H71)</f>
        <v>0.20238367284274644</v>
      </c>
    </row>
    <row r="7" spans="2:13" ht="16.5">
      <c r="B7" s="23" t="s">
        <v>235</v>
      </c>
      <c r="C7" s="24"/>
      <c r="D7" s="24"/>
      <c r="E7" s="24"/>
      <c r="F7" s="24"/>
      <c r="G7" s="24"/>
      <c r="H7" s="24"/>
      <c r="I7" s="24"/>
      <c r="K7" s="27" t="s">
        <v>268</v>
      </c>
      <c r="L7" s="27"/>
      <c r="M7" s="27">
        <f>L27</f>
        <v>0.20238367284274644</v>
      </c>
    </row>
    <row r="8" spans="2:13" ht="15" thickBot="1">
      <c r="K8" s="33" t="s">
        <v>269</v>
      </c>
      <c r="L8" s="34"/>
      <c r="M8" s="33">
        <f>0.33+0.67*M7</f>
        <v>0.46559706080464014</v>
      </c>
    </row>
    <row r="9" spans="2:13">
      <c r="B9" s="134" t="s">
        <v>239</v>
      </c>
      <c r="C9" s="134"/>
      <c r="D9" s="134"/>
      <c r="F9" s="134" t="s">
        <v>240</v>
      </c>
      <c r="G9" s="134"/>
      <c r="H9" s="134"/>
    </row>
    <row r="10" spans="2:13">
      <c r="B10" s="2" t="s">
        <v>236</v>
      </c>
      <c r="C10" s="2" t="s">
        <v>237</v>
      </c>
      <c r="D10" s="2" t="s">
        <v>238</v>
      </c>
      <c r="F10" s="2" t="s">
        <v>236</v>
      </c>
      <c r="G10" s="2" t="s">
        <v>237</v>
      </c>
      <c r="H10" s="2" t="s">
        <v>238</v>
      </c>
      <c r="K10" t="s">
        <v>243</v>
      </c>
    </row>
    <row r="11" spans="2:13" ht="15" thickBot="1">
      <c r="B11" s="25">
        <v>43678</v>
      </c>
      <c r="C11" s="26">
        <v>1743.0322269999999</v>
      </c>
      <c r="D11" s="27"/>
      <c r="F11" s="25">
        <v>43678</v>
      </c>
      <c r="G11" s="26">
        <v>11023.25</v>
      </c>
      <c r="H11" s="27"/>
    </row>
    <row r="12" spans="2:13">
      <c r="B12" s="25">
        <v>43709</v>
      </c>
      <c r="C12" s="26">
        <v>1835.699341</v>
      </c>
      <c r="D12" s="28">
        <f>(C12/C11)-1</f>
        <v>5.3164314786934952E-2</v>
      </c>
      <c r="F12" s="25">
        <v>43709</v>
      </c>
      <c r="G12" s="26">
        <v>11474.450194999999</v>
      </c>
      <c r="H12" s="28">
        <f>(G12/G11)-1</f>
        <v>4.0931684847935079E-2</v>
      </c>
      <c r="K12" s="31" t="s">
        <v>244</v>
      </c>
      <c r="L12" s="31"/>
    </row>
    <row r="13" spans="2:13">
      <c r="B13" s="25">
        <v>43739</v>
      </c>
      <c r="C13" s="26">
        <v>2014.828125</v>
      </c>
      <c r="D13" s="28">
        <f t="shared" ref="D13:D71" si="0">(C13/C12)-1</f>
        <v>9.7580676747652584E-2</v>
      </c>
      <c r="F13" s="25">
        <v>43739</v>
      </c>
      <c r="G13" s="26">
        <v>11877.450194999999</v>
      </c>
      <c r="H13" s="28">
        <f t="shared" ref="H13:H71" si="1">(G13/G12)-1</f>
        <v>3.5121508495074449E-2</v>
      </c>
      <c r="K13" t="s">
        <v>245</v>
      </c>
      <c r="L13">
        <v>0.16989349561438127</v>
      </c>
    </row>
    <row r="14" spans="2:13">
      <c r="B14" s="25">
        <v>43770</v>
      </c>
      <c r="C14" s="26">
        <v>1894.9107670000001</v>
      </c>
      <c r="D14" s="28">
        <f t="shared" si="0"/>
        <v>-5.9517413178853618E-2</v>
      </c>
      <c r="F14" s="25">
        <v>43770</v>
      </c>
      <c r="G14" s="26">
        <v>12056.049805000001</v>
      </c>
      <c r="H14" s="28">
        <f t="shared" si="1"/>
        <v>1.5036864568389152E-2</v>
      </c>
      <c r="K14" t="s">
        <v>246</v>
      </c>
      <c r="L14">
        <v>2.8863799852073786E-2</v>
      </c>
    </row>
    <row r="15" spans="2:13">
      <c r="B15" s="25">
        <v>43800</v>
      </c>
      <c r="C15" s="26">
        <v>1790.356812</v>
      </c>
      <c r="D15" s="28">
        <f t="shared" si="0"/>
        <v>-5.5176189201525672E-2</v>
      </c>
      <c r="F15" s="25">
        <v>43800</v>
      </c>
      <c r="G15" s="26">
        <v>12168.450194999999</v>
      </c>
      <c r="H15" s="28">
        <f t="shared" si="1"/>
        <v>9.3231524270398491E-3</v>
      </c>
      <c r="K15" t="s">
        <v>247</v>
      </c>
      <c r="L15">
        <v>1.2120072263316439E-2</v>
      </c>
    </row>
    <row r="16" spans="2:13">
      <c r="B16" s="25">
        <v>43831</v>
      </c>
      <c r="C16" s="26">
        <v>1893.9331050000001</v>
      </c>
      <c r="D16" s="28">
        <f t="shared" si="0"/>
        <v>5.7852318770075462E-2</v>
      </c>
      <c r="F16" s="25">
        <v>43831</v>
      </c>
      <c r="G16" s="26">
        <v>11962.099609000001</v>
      </c>
      <c r="H16" s="28">
        <f t="shared" si="1"/>
        <v>-1.6957836264538284E-2</v>
      </c>
      <c r="K16" t="s">
        <v>248</v>
      </c>
      <c r="L16">
        <v>6.3109008427602531E-2</v>
      </c>
    </row>
    <row r="17" spans="2:19" ht="15" thickBot="1">
      <c r="B17" s="25">
        <v>43862</v>
      </c>
      <c r="C17" s="26">
        <v>2024.7418210000001</v>
      </c>
      <c r="D17" s="28">
        <f t="shared" si="0"/>
        <v>6.9067231389885908E-2</v>
      </c>
      <c r="F17" s="25">
        <v>43862</v>
      </c>
      <c r="G17" s="26">
        <v>11201.75</v>
      </c>
      <c r="H17" s="28">
        <f t="shared" si="1"/>
        <v>-6.35632233348008E-2</v>
      </c>
      <c r="K17" s="29" t="s">
        <v>249</v>
      </c>
      <c r="L17" s="29">
        <v>60</v>
      </c>
    </row>
    <row r="18" spans="2:19">
      <c r="B18" s="25">
        <v>43891</v>
      </c>
      <c r="C18" s="26">
        <v>2139.9558109999998</v>
      </c>
      <c r="D18" s="28">
        <f t="shared" si="0"/>
        <v>5.6903052431196643E-2</v>
      </c>
      <c r="F18" s="25">
        <v>43891</v>
      </c>
      <c r="G18" s="26">
        <v>8597.75</v>
      </c>
      <c r="H18" s="28">
        <f t="shared" si="1"/>
        <v>-0.23246367755038277</v>
      </c>
    </row>
    <row r="19" spans="2:19" ht="15" thickBot="1">
      <c r="B19" s="25">
        <v>43922</v>
      </c>
      <c r="C19" s="26">
        <v>2043.5950929999999</v>
      </c>
      <c r="D19" s="28">
        <f t="shared" si="0"/>
        <v>-4.502930271021377E-2</v>
      </c>
      <c r="F19" s="25">
        <v>43922</v>
      </c>
      <c r="G19" s="26">
        <v>9859.9003909999992</v>
      </c>
      <c r="H19" s="28">
        <f t="shared" si="1"/>
        <v>0.14680008036986414</v>
      </c>
      <c r="K19" t="s">
        <v>250</v>
      </c>
    </row>
    <row r="20" spans="2:19">
      <c r="B20" s="25">
        <v>43952</v>
      </c>
      <c r="C20" s="26">
        <v>1915.4399410000001</v>
      </c>
      <c r="D20" s="28">
        <f t="shared" si="0"/>
        <v>-6.2710637953171E-2</v>
      </c>
      <c r="F20" s="25">
        <v>43952</v>
      </c>
      <c r="G20" s="26">
        <v>9580.2998050000006</v>
      </c>
      <c r="H20" s="28">
        <f t="shared" si="1"/>
        <v>-2.8357343878972152E-2</v>
      </c>
      <c r="K20" s="30"/>
      <c r="L20" s="30" t="s">
        <v>255</v>
      </c>
      <c r="M20" s="30" t="s">
        <v>256</v>
      </c>
      <c r="N20" s="30" t="s">
        <v>257</v>
      </c>
      <c r="O20" s="30" t="s">
        <v>258</v>
      </c>
      <c r="P20" s="30" t="s">
        <v>259</v>
      </c>
    </row>
    <row r="21" spans="2:19">
      <c r="B21" s="25">
        <v>43983</v>
      </c>
      <c r="C21" s="26">
        <v>2029.6298830000001</v>
      </c>
      <c r="D21" s="28">
        <f t="shared" si="0"/>
        <v>5.9615516809357283E-2</v>
      </c>
      <c r="F21" s="25">
        <v>43983</v>
      </c>
      <c r="G21" s="26">
        <v>10302.099609000001</v>
      </c>
      <c r="H21" s="28">
        <f t="shared" si="1"/>
        <v>7.5342089359592856E-2</v>
      </c>
      <c r="K21" t="s">
        <v>251</v>
      </c>
      <c r="L21">
        <v>1</v>
      </c>
      <c r="M21">
        <v>6.8656880652374352E-3</v>
      </c>
      <c r="N21">
        <v>6.8656880652374352E-3</v>
      </c>
      <c r="O21">
        <v>1.7238574683605408</v>
      </c>
      <c r="P21">
        <v>0.19436847401177562</v>
      </c>
    </row>
    <row r="22" spans="2:19">
      <c r="B22" s="25">
        <v>44013</v>
      </c>
      <c r="C22" s="26">
        <v>2071.5095209999999</v>
      </c>
      <c r="D22" s="28">
        <f t="shared" si="0"/>
        <v>2.0634125635801803E-2</v>
      </c>
      <c r="F22" s="25">
        <v>44013</v>
      </c>
      <c r="G22" s="26">
        <v>11073.450194999999</v>
      </c>
      <c r="H22" s="28">
        <f t="shared" si="1"/>
        <v>7.4873143851777568E-2</v>
      </c>
      <c r="K22" t="s">
        <v>252</v>
      </c>
      <c r="L22">
        <v>58</v>
      </c>
      <c r="M22">
        <v>0.23099932279348198</v>
      </c>
      <c r="N22">
        <v>3.9827469447152068E-3</v>
      </c>
    </row>
    <row r="23" spans="2:19" ht="15" thickBot="1">
      <c r="B23" s="25">
        <v>44044</v>
      </c>
      <c r="C23" s="26">
        <v>1993.241577</v>
      </c>
      <c r="D23" s="28">
        <f t="shared" si="0"/>
        <v>-3.7783048162007393E-2</v>
      </c>
      <c r="F23" s="25">
        <v>44044</v>
      </c>
      <c r="G23" s="26">
        <v>11387.5</v>
      </c>
      <c r="H23" s="28">
        <f t="shared" si="1"/>
        <v>2.8360610240682149E-2</v>
      </c>
      <c r="K23" s="29" t="s">
        <v>253</v>
      </c>
      <c r="L23" s="29">
        <v>59</v>
      </c>
      <c r="M23" s="29">
        <v>0.23786501085871942</v>
      </c>
      <c r="N23" s="29"/>
      <c r="O23" s="29"/>
      <c r="P23" s="29"/>
    </row>
    <row r="24" spans="2:19" ht="15" thickBot="1">
      <c r="B24" s="25">
        <v>44075</v>
      </c>
      <c r="C24" s="26">
        <v>1947.019409</v>
      </c>
      <c r="D24" s="28">
        <f t="shared" si="0"/>
        <v>-2.3189446042746309E-2</v>
      </c>
      <c r="F24" s="25">
        <v>44075</v>
      </c>
      <c r="G24" s="26">
        <v>11247.549805000001</v>
      </c>
      <c r="H24" s="28">
        <f t="shared" si="1"/>
        <v>-1.2289808562019666E-2</v>
      </c>
    </row>
    <row r="25" spans="2:19">
      <c r="B25" s="25">
        <v>44105</v>
      </c>
      <c r="C25" s="26">
        <v>1949.8907469999999</v>
      </c>
      <c r="D25" s="28">
        <f t="shared" si="0"/>
        <v>1.4747351704493816E-3</v>
      </c>
      <c r="F25" s="25">
        <v>44105</v>
      </c>
      <c r="G25" s="26">
        <v>11642.400390999999</v>
      </c>
      <c r="H25" s="28">
        <f t="shared" si="1"/>
        <v>3.5105475667640107E-2</v>
      </c>
      <c r="K25" s="30"/>
      <c r="L25" s="30" t="s">
        <v>260</v>
      </c>
      <c r="M25" s="30" t="s">
        <v>248</v>
      </c>
      <c r="N25" s="30" t="s">
        <v>261</v>
      </c>
      <c r="O25" s="30" t="s">
        <v>262</v>
      </c>
      <c r="P25" s="30" t="s">
        <v>263</v>
      </c>
      <c r="Q25" s="30" t="s">
        <v>264</v>
      </c>
      <c r="R25" s="30" t="s">
        <v>265</v>
      </c>
      <c r="S25" s="30" t="s">
        <v>266</v>
      </c>
    </row>
    <row r="26" spans="2:19">
      <c r="B26" s="25">
        <v>44136</v>
      </c>
      <c r="C26" s="26">
        <v>2025.8992920000001</v>
      </c>
      <c r="D26" s="28">
        <f t="shared" si="0"/>
        <v>3.8980925016923518E-2</v>
      </c>
      <c r="F26" s="25">
        <v>44136</v>
      </c>
      <c r="G26" s="26">
        <v>12968.950194999999</v>
      </c>
      <c r="H26" s="28">
        <f t="shared" si="1"/>
        <v>0.1139412629225045</v>
      </c>
      <c r="K26" t="s">
        <v>254</v>
      </c>
      <c r="L26">
        <v>6.2515716881989614E-3</v>
      </c>
      <c r="M26">
        <v>8.4727977485076628E-3</v>
      </c>
      <c r="N26">
        <v>0.73784030656226485</v>
      </c>
      <c r="O26">
        <v>0.46358636889625537</v>
      </c>
      <c r="P26">
        <v>-1.0708575704615211E-2</v>
      </c>
      <c r="Q26">
        <v>2.3211719081013132E-2</v>
      </c>
      <c r="R26">
        <v>-1.0708575704615211E-2</v>
      </c>
      <c r="S26">
        <v>2.3211719081013132E-2</v>
      </c>
    </row>
    <row r="27" spans="2:19" ht="15" thickBot="1">
      <c r="B27" s="25">
        <v>44166</v>
      </c>
      <c r="C27" s="26">
        <v>2269.5910640000002</v>
      </c>
      <c r="D27" s="28">
        <f t="shared" si="0"/>
        <v>0.1202881964381477</v>
      </c>
      <c r="F27" s="25">
        <v>44166</v>
      </c>
      <c r="G27" s="26">
        <v>13981.75</v>
      </c>
      <c r="H27" s="28">
        <f t="shared" si="1"/>
        <v>7.8094201132060226E-2</v>
      </c>
      <c r="K27" s="29" t="s">
        <v>267</v>
      </c>
      <c r="L27" s="29">
        <v>0.20238367284274644</v>
      </c>
      <c r="M27" s="29">
        <v>0.15414335090241008</v>
      </c>
      <c r="N27" s="29">
        <v>1.3129575272492802</v>
      </c>
      <c r="O27" s="29">
        <v>0.19436847401177562</v>
      </c>
      <c r="P27" s="29">
        <v>-0.10616776772334202</v>
      </c>
      <c r="Q27" s="29">
        <v>0.51093511340883491</v>
      </c>
      <c r="R27" s="29">
        <v>-0.10616776772334202</v>
      </c>
      <c r="S27" s="29">
        <v>0.51093511340883491</v>
      </c>
    </row>
    <row r="28" spans="2:19">
      <c r="B28" s="25">
        <v>44197</v>
      </c>
      <c r="C28" s="26">
        <v>2144.9973140000002</v>
      </c>
      <c r="D28" s="28">
        <f t="shared" si="0"/>
        <v>-5.4897004123911186E-2</v>
      </c>
      <c r="F28" s="25">
        <v>44197</v>
      </c>
      <c r="G28" s="26">
        <v>13634.599609000001</v>
      </c>
      <c r="H28" s="28">
        <f t="shared" si="1"/>
        <v>-2.4828822643803483E-2</v>
      </c>
    </row>
    <row r="29" spans="2:19">
      <c r="B29" s="25">
        <v>44228</v>
      </c>
      <c r="C29" s="26">
        <v>2020.07251</v>
      </c>
      <c r="D29" s="28">
        <f t="shared" si="0"/>
        <v>-5.8240074793865282E-2</v>
      </c>
      <c r="F29" s="25">
        <v>44228</v>
      </c>
      <c r="G29" s="26">
        <v>14529.150390999999</v>
      </c>
      <c r="H29" s="28">
        <f t="shared" si="1"/>
        <v>6.5608877976109925E-2</v>
      </c>
    </row>
    <row r="30" spans="2:19">
      <c r="B30" s="25">
        <v>44256</v>
      </c>
      <c r="C30" s="26">
        <v>2303.7951659999999</v>
      </c>
      <c r="D30" s="28">
        <f t="shared" si="0"/>
        <v>0.14045171873558138</v>
      </c>
      <c r="F30" s="25">
        <v>44256</v>
      </c>
      <c r="G30" s="26">
        <v>14690.700194999999</v>
      </c>
      <c r="H30" s="28">
        <f t="shared" si="1"/>
        <v>1.1119012444118725E-2</v>
      </c>
    </row>
    <row r="31" spans="2:19">
      <c r="B31" s="25">
        <v>44287</v>
      </c>
      <c r="C31" s="26">
        <v>2230.1289059999999</v>
      </c>
      <c r="D31" s="28">
        <f t="shared" si="0"/>
        <v>-3.1976045912060935E-2</v>
      </c>
      <c r="F31" s="25">
        <v>44287</v>
      </c>
      <c r="G31" s="26">
        <v>14631.099609000001</v>
      </c>
      <c r="H31" s="28">
        <f t="shared" si="1"/>
        <v>-4.057028270189833E-3</v>
      </c>
    </row>
    <row r="32" spans="2:19">
      <c r="B32" s="25">
        <v>44317</v>
      </c>
      <c r="C32" s="26">
        <v>2217.1479490000002</v>
      </c>
      <c r="D32" s="28">
        <f t="shared" si="0"/>
        <v>-5.820720481706454E-3</v>
      </c>
      <c r="F32" s="25">
        <v>44317</v>
      </c>
      <c r="G32" s="26">
        <v>15582.799805000001</v>
      </c>
      <c r="H32" s="28">
        <f t="shared" si="1"/>
        <v>6.504638895456516E-2</v>
      </c>
    </row>
    <row r="33" spans="2:8">
      <c r="B33" s="25">
        <v>44348</v>
      </c>
      <c r="C33" s="26">
        <v>2341.5046390000002</v>
      </c>
      <c r="D33" s="28">
        <f t="shared" si="0"/>
        <v>5.6088584460991298E-2</v>
      </c>
      <c r="F33" s="25">
        <v>44348</v>
      </c>
      <c r="G33" s="26">
        <v>15721.5</v>
      </c>
      <c r="H33" s="28">
        <f t="shared" si="1"/>
        <v>8.9008520121971468E-3</v>
      </c>
    </row>
    <row r="34" spans="2:8">
      <c r="B34" s="25">
        <v>44378</v>
      </c>
      <c r="C34" s="26">
        <v>2226.748779</v>
      </c>
      <c r="D34" s="28">
        <f t="shared" si="0"/>
        <v>-4.9009452336173709E-2</v>
      </c>
      <c r="F34" s="25">
        <v>44378</v>
      </c>
      <c r="G34" s="26">
        <v>15763.049805000001</v>
      </c>
      <c r="H34" s="28">
        <f t="shared" si="1"/>
        <v>2.6428651846197582E-3</v>
      </c>
    </row>
    <row r="35" spans="2:8">
      <c r="B35" s="25">
        <v>44409</v>
      </c>
      <c r="C35" s="26">
        <v>2599.7026369999999</v>
      </c>
      <c r="D35" s="28">
        <f t="shared" si="0"/>
        <v>0.16748807118128872</v>
      </c>
      <c r="F35" s="25">
        <v>44409</v>
      </c>
      <c r="G35" s="26">
        <v>17132.199218999998</v>
      </c>
      <c r="H35" s="28">
        <f t="shared" si="1"/>
        <v>8.6858154414110045E-2</v>
      </c>
    </row>
    <row r="36" spans="2:8">
      <c r="B36" s="25">
        <v>44440</v>
      </c>
      <c r="C36" s="26">
        <v>2578.420654</v>
      </c>
      <c r="D36" s="28">
        <f t="shared" si="0"/>
        <v>-8.1863143488436485E-3</v>
      </c>
      <c r="F36" s="25">
        <v>44440</v>
      </c>
      <c r="G36" s="26">
        <v>17618.150390999999</v>
      </c>
      <c r="H36" s="28">
        <f t="shared" si="1"/>
        <v>2.8364786434485811E-2</v>
      </c>
    </row>
    <row r="37" spans="2:8">
      <c r="B37" s="25">
        <v>44470</v>
      </c>
      <c r="C37" s="26">
        <v>2283.8657229999999</v>
      </c>
      <c r="D37" s="28">
        <f t="shared" si="0"/>
        <v>-0.11423850896596177</v>
      </c>
      <c r="F37" s="25">
        <v>44470</v>
      </c>
      <c r="G37" s="26">
        <v>17671.650390999999</v>
      </c>
      <c r="H37" s="28">
        <f t="shared" si="1"/>
        <v>3.0366411236522062E-3</v>
      </c>
    </row>
    <row r="38" spans="2:8">
      <c r="B38" s="25">
        <v>44501</v>
      </c>
      <c r="C38" s="26">
        <v>2225.3098140000002</v>
      </c>
      <c r="D38" s="28">
        <f t="shared" si="0"/>
        <v>-2.5638945586994866E-2</v>
      </c>
      <c r="F38" s="25">
        <v>44501</v>
      </c>
      <c r="G38" s="26">
        <v>16983.199218999998</v>
      </c>
      <c r="H38" s="28">
        <f t="shared" si="1"/>
        <v>-3.8957944321409976E-2</v>
      </c>
    </row>
    <row r="39" spans="2:8">
      <c r="B39" s="25">
        <v>44531</v>
      </c>
      <c r="C39" s="26">
        <v>2266.2141109999998</v>
      </c>
      <c r="D39" s="28">
        <f t="shared" si="0"/>
        <v>1.8381394241224314E-2</v>
      </c>
      <c r="F39" s="25">
        <v>44531</v>
      </c>
      <c r="G39" s="26">
        <v>17354.050781000002</v>
      </c>
      <c r="H39" s="28">
        <f t="shared" si="1"/>
        <v>2.1836378247575006E-2</v>
      </c>
    </row>
    <row r="40" spans="2:8">
      <c r="B40" s="25">
        <v>44562</v>
      </c>
      <c r="C40" s="26">
        <v>2183.2531739999999</v>
      </c>
      <c r="D40" s="28">
        <f t="shared" si="0"/>
        <v>-3.6607722367147488E-2</v>
      </c>
      <c r="F40" s="25">
        <v>44562</v>
      </c>
      <c r="G40" s="26">
        <v>17339.849609000001</v>
      </c>
      <c r="H40" s="28">
        <f t="shared" si="1"/>
        <v>-8.183202976188575E-4</v>
      </c>
    </row>
    <row r="41" spans="2:8">
      <c r="B41" s="25">
        <v>44593</v>
      </c>
      <c r="C41" s="26">
        <v>2085.648682</v>
      </c>
      <c r="D41" s="28">
        <f t="shared" si="0"/>
        <v>-4.4705988825462728E-2</v>
      </c>
      <c r="F41" s="25">
        <v>44593</v>
      </c>
      <c r="G41" s="26">
        <v>16793.900390999999</v>
      </c>
      <c r="H41" s="28">
        <f t="shared" si="1"/>
        <v>-3.1485233742548413E-2</v>
      </c>
    </row>
    <row r="42" spans="2:8">
      <c r="B42" s="25">
        <v>44621</v>
      </c>
      <c r="C42" s="26">
        <v>1967.112183</v>
      </c>
      <c r="D42" s="28">
        <f t="shared" si="0"/>
        <v>-5.6834355672179315E-2</v>
      </c>
      <c r="F42" s="25">
        <v>44621</v>
      </c>
      <c r="G42" s="26">
        <v>17464.75</v>
      </c>
      <c r="H42" s="28">
        <f t="shared" si="1"/>
        <v>3.9946027627954406E-2</v>
      </c>
    </row>
    <row r="43" spans="2:8">
      <c r="B43" s="25">
        <v>44652</v>
      </c>
      <c r="C43" s="26">
        <v>2145.9013669999999</v>
      </c>
      <c r="D43" s="28">
        <f t="shared" si="0"/>
        <v>9.088916511478895E-2</v>
      </c>
      <c r="F43" s="25">
        <v>44652</v>
      </c>
      <c r="G43" s="26">
        <v>17102.550781000002</v>
      </c>
      <c r="H43" s="28">
        <f t="shared" si="1"/>
        <v>-2.0738872242660134E-2</v>
      </c>
    </row>
    <row r="44" spans="2:8">
      <c r="B44" s="25">
        <v>44682</v>
      </c>
      <c r="C44" s="26">
        <v>2259.5888669999999</v>
      </c>
      <c r="D44" s="28">
        <f t="shared" si="0"/>
        <v>5.2978902827643282E-2</v>
      </c>
      <c r="F44" s="25">
        <v>44682</v>
      </c>
      <c r="G44" s="26">
        <v>16584.550781000002</v>
      </c>
      <c r="H44" s="28">
        <f t="shared" si="1"/>
        <v>-3.0287879663861039E-2</v>
      </c>
    </row>
    <row r="45" spans="2:8">
      <c r="B45" s="25">
        <v>44713</v>
      </c>
      <c r="C45" s="26">
        <v>2141.820557</v>
      </c>
      <c r="D45" s="28">
        <f t="shared" si="0"/>
        <v>-5.2119353091147902E-2</v>
      </c>
      <c r="F45" s="25">
        <v>44713</v>
      </c>
      <c r="G45" s="26">
        <v>15780.25</v>
      </c>
      <c r="H45" s="28">
        <f t="shared" si="1"/>
        <v>-4.8496989253483114E-2</v>
      </c>
    </row>
    <row r="46" spans="2:8">
      <c r="B46" s="25">
        <v>44743</v>
      </c>
      <c r="C46" s="26">
        <v>2554.7883299999999</v>
      </c>
      <c r="D46" s="28">
        <f t="shared" si="0"/>
        <v>0.19281156474585082</v>
      </c>
      <c r="F46" s="25">
        <v>44743</v>
      </c>
      <c r="G46" s="26">
        <v>17158.25</v>
      </c>
      <c r="H46" s="28">
        <f t="shared" si="1"/>
        <v>8.7324345305048956E-2</v>
      </c>
    </row>
    <row r="47" spans="2:8">
      <c r="B47" s="25">
        <v>44774</v>
      </c>
      <c r="C47" s="26">
        <v>2576.5349120000001</v>
      </c>
      <c r="D47" s="28">
        <f t="shared" si="0"/>
        <v>8.5120875747854985E-3</v>
      </c>
      <c r="F47" s="25">
        <v>44774</v>
      </c>
      <c r="G47" s="26">
        <v>17759.300781000002</v>
      </c>
      <c r="H47" s="28">
        <f t="shared" si="1"/>
        <v>3.5029841679658613E-2</v>
      </c>
    </row>
    <row r="48" spans="2:8">
      <c r="B48" s="25">
        <v>44805</v>
      </c>
      <c r="C48" s="26">
        <v>2611.9887699999999</v>
      </c>
      <c r="D48" s="28">
        <f t="shared" si="0"/>
        <v>1.3760286280180667E-2</v>
      </c>
      <c r="F48" s="25">
        <v>44805</v>
      </c>
      <c r="G48" s="26">
        <v>17094.349609000001</v>
      </c>
      <c r="H48" s="28">
        <f t="shared" si="1"/>
        <v>-3.7442418493829788E-2</v>
      </c>
    </row>
    <row r="49" spans="2:8">
      <c r="B49" s="25">
        <v>44835</v>
      </c>
      <c r="C49" s="26">
        <v>2470.8039549999999</v>
      </c>
      <c r="D49" s="28">
        <f t="shared" si="0"/>
        <v>-5.4052611795876948E-2</v>
      </c>
      <c r="F49" s="25">
        <v>44835</v>
      </c>
      <c r="G49" s="26">
        <v>18012.199218999998</v>
      </c>
      <c r="H49" s="28">
        <f t="shared" si="1"/>
        <v>5.3693157738903263E-2</v>
      </c>
    </row>
    <row r="50" spans="2:8">
      <c r="B50" s="25">
        <v>44866</v>
      </c>
      <c r="C50" s="26">
        <v>2600.2678219999998</v>
      </c>
      <c r="D50" s="28">
        <f t="shared" si="0"/>
        <v>5.2397466313752972E-2</v>
      </c>
      <c r="F50" s="25">
        <v>44866</v>
      </c>
      <c r="G50" s="26">
        <v>18758.349609000001</v>
      </c>
      <c r="H50" s="28">
        <f t="shared" si="1"/>
        <v>4.1424724484111497E-2</v>
      </c>
    </row>
    <row r="51" spans="2:8">
      <c r="B51" s="25">
        <v>44896</v>
      </c>
      <c r="C51" s="26">
        <v>2497.4750979999999</v>
      </c>
      <c r="D51" s="28">
        <f t="shared" si="0"/>
        <v>-3.9531590988553189E-2</v>
      </c>
      <c r="F51" s="25">
        <v>44896</v>
      </c>
      <c r="G51" s="26">
        <v>18105.300781000002</v>
      </c>
      <c r="H51" s="28">
        <f t="shared" si="1"/>
        <v>-3.4813767821379904E-2</v>
      </c>
    </row>
    <row r="52" spans="2:8">
      <c r="B52" s="25">
        <v>44927</v>
      </c>
      <c r="C52" s="26">
        <v>2512.7851559999999</v>
      </c>
      <c r="D52" s="28">
        <f t="shared" si="0"/>
        <v>6.1302144763166755E-3</v>
      </c>
      <c r="F52" s="25">
        <v>44927</v>
      </c>
      <c r="G52" s="26">
        <v>17662.150390999999</v>
      </c>
      <c r="H52" s="28">
        <f t="shared" si="1"/>
        <v>-2.4476278818027275E-2</v>
      </c>
    </row>
    <row r="53" spans="2:8">
      <c r="B53" s="25">
        <v>44958</v>
      </c>
      <c r="C53" s="26">
        <v>2399.5671390000002</v>
      </c>
      <c r="D53" s="28">
        <f t="shared" si="0"/>
        <v>-4.5056783597140826E-2</v>
      </c>
      <c r="F53" s="25">
        <v>44958</v>
      </c>
      <c r="G53" s="26">
        <v>17303.949218999998</v>
      </c>
      <c r="H53" s="28">
        <f t="shared" si="1"/>
        <v>-2.0280722566065723E-2</v>
      </c>
    </row>
    <row r="54" spans="2:8">
      <c r="B54" s="25">
        <v>44986</v>
      </c>
      <c r="C54" s="26">
        <v>2496.7927249999998</v>
      </c>
      <c r="D54" s="28">
        <f t="shared" si="0"/>
        <v>4.0517968603503096E-2</v>
      </c>
      <c r="F54" s="25">
        <v>44986</v>
      </c>
      <c r="G54" s="26">
        <v>17359.75</v>
      </c>
      <c r="H54" s="28">
        <f t="shared" si="1"/>
        <v>3.2247425309555044E-3</v>
      </c>
    </row>
    <row r="55" spans="2:8">
      <c r="B55" s="25">
        <v>45017</v>
      </c>
      <c r="C55" s="26">
        <v>2396.3007809999999</v>
      </c>
      <c r="D55" s="28">
        <f t="shared" si="0"/>
        <v>-4.0248412691125557E-2</v>
      </c>
      <c r="F55" s="25">
        <v>45017</v>
      </c>
      <c r="G55" s="26">
        <v>18065</v>
      </c>
      <c r="H55" s="28">
        <f t="shared" si="1"/>
        <v>4.0625585045867663E-2</v>
      </c>
    </row>
    <row r="56" spans="2:8">
      <c r="B56" s="25">
        <v>45047</v>
      </c>
      <c r="C56" s="26">
        <v>2601.3315429999998</v>
      </c>
      <c r="D56" s="28">
        <f t="shared" si="0"/>
        <v>8.5561363425520565E-2</v>
      </c>
      <c r="F56" s="25">
        <v>45047</v>
      </c>
      <c r="G56" s="26">
        <v>18534.400390999999</v>
      </c>
      <c r="H56" s="28">
        <f t="shared" si="1"/>
        <v>2.5983968502629295E-2</v>
      </c>
    </row>
    <row r="57" spans="2:8">
      <c r="B57" s="25">
        <v>45078</v>
      </c>
      <c r="C57" s="26">
        <v>2611.6682129999999</v>
      </c>
      <c r="D57" s="28">
        <f t="shared" si="0"/>
        <v>3.9736072965459446E-3</v>
      </c>
      <c r="F57" s="25">
        <v>45078</v>
      </c>
      <c r="G57" s="26">
        <v>19189.050781000002</v>
      </c>
      <c r="H57" s="28">
        <f t="shared" si="1"/>
        <v>3.5320829171138879E-2</v>
      </c>
    </row>
    <row r="58" spans="2:8">
      <c r="B58" s="25">
        <v>45108</v>
      </c>
      <c r="C58" s="26">
        <v>2517.626953</v>
      </c>
      <c r="D58" s="28">
        <f t="shared" si="0"/>
        <v>-3.6008119075728873E-2</v>
      </c>
      <c r="F58" s="25">
        <v>45108</v>
      </c>
      <c r="G58" s="26">
        <v>19753.800781000002</v>
      </c>
      <c r="H58" s="28">
        <f t="shared" si="1"/>
        <v>2.9430846082245221E-2</v>
      </c>
    </row>
    <row r="59" spans="2:8">
      <c r="B59" s="25">
        <v>45139</v>
      </c>
      <c r="C59" s="26">
        <v>2462.8168949999999</v>
      </c>
      <c r="D59" s="28">
        <f t="shared" si="0"/>
        <v>-2.1770523998675961E-2</v>
      </c>
      <c r="F59" s="25">
        <v>45139</v>
      </c>
      <c r="G59" s="26">
        <v>19253.800781000002</v>
      </c>
      <c r="H59" s="28">
        <f t="shared" si="1"/>
        <v>-2.5311584618233018E-2</v>
      </c>
    </row>
    <row r="60" spans="2:8">
      <c r="B60" s="25">
        <v>45170</v>
      </c>
      <c r="C60" s="26">
        <v>2424.031982</v>
      </c>
      <c r="D60" s="28">
        <f t="shared" si="0"/>
        <v>-1.5748191868726003E-2</v>
      </c>
      <c r="F60" s="25">
        <v>45170</v>
      </c>
      <c r="G60" s="26">
        <v>19638.300781000002</v>
      </c>
      <c r="H60" s="28">
        <f t="shared" si="1"/>
        <v>1.9970083017553097E-2</v>
      </c>
    </row>
    <row r="61" spans="2:8">
      <c r="B61" s="25">
        <v>45200</v>
      </c>
      <c r="C61" s="26">
        <v>2442.1215820000002</v>
      </c>
      <c r="D61" s="28">
        <f t="shared" si="0"/>
        <v>7.4626078097679294E-3</v>
      </c>
      <c r="F61" s="25">
        <v>45200</v>
      </c>
      <c r="G61" s="26">
        <v>19079.599609000001</v>
      </c>
      <c r="H61" s="28">
        <f t="shared" si="1"/>
        <v>-2.8449567924967445E-2</v>
      </c>
    </row>
    <row r="62" spans="2:8">
      <c r="B62" s="25">
        <v>45231</v>
      </c>
      <c r="C62" s="26">
        <v>2502.6340329999998</v>
      </c>
      <c r="D62" s="28">
        <f t="shared" si="0"/>
        <v>2.4778639788459067E-2</v>
      </c>
      <c r="F62" s="25">
        <v>45231</v>
      </c>
      <c r="G62" s="26">
        <v>20133.150390999999</v>
      </c>
      <c r="H62" s="28">
        <f t="shared" si="1"/>
        <v>5.5218704982835654E-2</v>
      </c>
    </row>
    <row r="63" spans="2:8">
      <c r="B63" s="25">
        <v>45261</v>
      </c>
      <c r="C63" s="26">
        <v>2638.2465820000002</v>
      </c>
      <c r="D63" s="28">
        <f t="shared" si="0"/>
        <v>5.4187926485374627E-2</v>
      </c>
      <c r="F63" s="25">
        <v>45261</v>
      </c>
      <c r="G63" s="26">
        <v>21731.400390999999</v>
      </c>
      <c r="H63" s="28">
        <f t="shared" si="1"/>
        <v>7.9383999471560829E-2</v>
      </c>
    </row>
    <row r="64" spans="2:8">
      <c r="B64" s="25">
        <v>45292</v>
      </c>
      <c r="C64" s="26">
        <v>2457.6064449999999</v>
      </c>
      <c r="D64" s="28">
        <f t="shared" si="0"/>
        <v>-6.8469770124012008E-2</v>
      </c>
      <c r="F64" s="25">
        <v>45292</v>
      </c>
      <c r="G64" s="26">
        <v>21725.699218999998</v>
      </c>
      <c r="H64" s="28">
        <f t="shared" si="1"/>
        <v>-2.6234719794504535E-4</v>
      </c>
    </row>
    <row r="65" spans="2:8">
      <c r="B65" s="25">
        <v>45323</v>
      </c>
      <c r="C65" s="26">
        <v>2389.0246579999998</v>
      </c>
      <c r="D65" s="28">
        <f t="shared" si="0"/>
        <v>-2.7905927387002816E-2</v>
      </c>
      <c r="F65" s="25">
        <v>45323</v>
      </c>
      <c r="G65" s="26">
        <v>21982.800781000002</v>
      </c>
      <c r="H65" s="28">
        <f t="shared" si="1"/>
        <v>1.1833983312037999E-2</v>
      </c>
    </row>
    <row r="66" spans="2:8">
      <c r="B66" s="25">
        <v>45352</v>
      </c>
      <c r="C66" s="26">
        <v>2242.5021969999998</v>
      </c>
      <c r="D66" s="28">
        <f t="shared" si="0"/>
        <v>-6.1331497985735783E-2</v>
      </c>
      <c r="F66" s="25">
        <v>45352</v>
      </c>
      <c r="G66" s="26">
        <v>22326.900390999999</v>
      </c>
      <c r="H66" s="28">
        <f t="shared" si="1"/>
        <v>1.5653128708576824E-2</v>
      </c>
    </row>
    <row r="67" spans="2:8">
      <c r="B67" s="25">
        <v>45383</v>
      </c>
      <c r="C67" s="26">
        <v>2208.9291990000002</v>
      </c>
      <c r="D67" s="28">
        <f t="shared" si="0"/>
        <v>-1.4971221898874121E-2</v>
      </c>
      <c r="F67" s="25">
        <v>45383</v>
      </c>
      <c r="G67" s="26">
        <v>22604.849609000001</v>
      </c>
      <c r="H67" s="28">
        <f t="shared" si="1"/>
        <v>1.2449073231501684E-2</v>
      </c>
    </row>
    <row r="68" spans="2:8">
      <c r="B68" s="25">
        <v>45413</v>
      </c>
      <c r="C68" s="26">
        <v>2306.5778810000002</v>
      </c>
      <c r="D68" s="28">
        <f t="shared" si="0"/>
        <v>4.4206343075281263E-2</v>
      </c>
      <c r="F68" s="25">
        <v>45413</v>
      </c>
      <c r="G68" s="26">
        <v>22530.699218999998</v>
      </c>
      <c r="H68" s="28">
        <f t="shared" si="1"/>
        <v>-3.2802868093614324E-3</v>
      </c>
    </row>
    <row r="69" spans="2:8">
      <c r="B69" s="25">
        <v>45444</v>
      </c>
      <c r="C69" s="26">
        <v>2449.1884770000001</v>
      </c>
      <c r="D69" s="28">
        <f t="shared" si="0"/>
        <v>6.1827782696924238E-2</v>
      </c>
      <c r="F69" s="25">
        <v>45444</v>
      </c>
      <c r="G69" s="26">
        <v>24010.599609000001</v>
      </c>
      <c r="H69" s="28">
        <f t="shared" si="1"/>
        <v>6.5683731144571489E-2</v>
      </c>
    </row>
    <row r="70" spans="2:8">
      <c r="B70" s="25">
        <v>45474</v>
      </c>
      <c r="C70" s="26">
        <v>2711.0500489999999</v>
      </c>
      <c r="D70" s="28">
        <f t="shared" si="0"/>
        <v>0.10691768904643584</v>
      </c>
      <c r="F70" s="25">
        <v>45474</v>
      </c>
      <c r="G70" s="26">
        <v>24834.849609000001</v>
      </c>
      <c r="H70" s="28">
        <f t="shared" si="1"/>
        <v>3.4328588765898393E-2</v>
      </c>
    </row>
    <row r="71" spans="2:8">
      <c r="B71" s="25">
        <v>45502</v>
      </c>
      <c r="C71" s="26">
        <v>2711.6000979999999</v>
      </c>
      <c r="D71" s="28">
        <f t="shared" si="0"/>
        <v>2.028914959364414E-4</v>
      </c>
      <c r="F71" s="25">
        <v>45502</v>
      </c>
      <c r="G71" s="26">
        <v>24836.099609000001</v>
      </c>
      <c r="H71" s="28">
        <f t="shared" si="1"/>
        <v>5.0332497264049536E-5</v>
      </c>
    </row>
  </sheetData>
  <mergeCells count="3">
    <mergeCell ref="B5:C5"/>
    <mergeCell ref="B9:D9"/>
    <mergeCell ref="F9:H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CF91-2063-4B0C-89A0-A81C90E50C8B}">
  <dimension ref="B4:J23"/>
  <sheetViews>
    <sheetView showGridLines="0" workbookViewId="0">
      <selection activeCell="C23" sqref="C23"/>
    </sheetView>
  </sheetViews>
  <sheetFormatPr defaultRowHeight="14.5"/>
  <cols>
    <col min="1" max="1" width="1.90625" customWidth="1"/>
    <col min="2" max="2" width="19.54296875" bestFit="1" customWidth="1"/>
    <col min="4" max="4" width="9.54296875" bestFit="1" customWidth="1"/>
    <col min="5" max="5" width="10.453125" bestFit="1" customWidth="1"/>
    <col min="6" max="6" width="8.08984375" bestFit="1" customWidth="1"/>
    <col min="7" max="7" width="10.6328125" bestFit="1" customWidth="1"/>
    <col min="8" max="8" width="10.1796875" bestFit="1" customWidth="1"/>
    <col min="9" max="9" width="11.6328125" bestFit="1" customWidth="1"/>
    <col min="10" max="10" width="13.6328125" bestFit="1" customWidth="1"/>
  </cols>
  <sheetData>
    <row r="4" spans="2:10">
      <c r="B4" s="6" t="s">
        <v>292</v>
      </c>
    </row>
    <row r="5" spans="2:10">
      <c r="B5" s="138" t="s">
        <v>287</v>
      </c>
      <c r="C5" s="139"/>
      <c r="D5" s="41" t="s">
        <v>280</v>
      </c>
      <c r="E5" s="41" t="s">
        <v>281</v>
      </c>
      <c r="F5" s="41" t="s">
        <v>282</v>
      </c>
      <c r="G5" s="41" t="s">
        <v>283</v>
      </c>
      <c r="H5" s="41" t="s">
        <v>284</v>
      </c>
      <c r="I5" s="41" t="s">
        <v>285</v>
      </c>
      <c r="J5" s="41" t="s">
        <v>286</v>
      </c>
    </row>
    <row r="6" spans="2:10">
      <c r="B6" s="140" t="s">
        <v>270</v>
      </c>
      <c r="C6" s="140"/>
      <c r="D6" s="37">
        <v>344.53</v>
      </c>
      <c r="E6" s="37">
        <v>236556.01</v>
      </c>
      <c r="F6" s="38">
        <v>0.26</v>
      </c>
      <c r="G6" s="39">
        <f>D6/(E6+D6)</f>
        <v>1.4543234050880592E-3</v>
      </c>
      <c r="H6" s="39">
        <f>D6/(D6+E6)</f>
        <v>1.4543234050880592E-3</v>
      </c>
      <c r="I6" s="40">
        <f>Nestle!M8</f>
        <v>0.55002943284698602</v>
      </c>
      <c r="J6" s="40">
        <f>I6/(1+(1-F6)*G6)</f>
        <v>0.54943812790747892</v>
      </c>
    </row>
    <row r="7" spans="2:10">
      <c r="B7" s="140" t="s">
        <v>271</v>
      </c>
      <c r="C7" s="140"/>
      <c r="D7" s="37">
        <v>5431.31</v>
      </c>
      <c r="E7" s="37">
        <v>204305.78</v>
      </c>
      <c r="F7" s="38">
        <v>0.26</v>
      </c>
      <c r="G7" s="39">
        <f t="shared" ref="G7:G10" si="0">D7/E7</f>
        <v>2.6584220965260995E-2</v>
      </c>
      <c r="H7" s="39">
        <f t="shared" ref="H7:H10" si="1">D7/(D7+E7)</f>
        <v>2.589580126242812E-2</v>
      </c>
      <c r="I7" s="40">
        <f>VarunBvg!M8</f>
        <v>1.1274712969217713</v>
      </c>
      <c r="J7" s="40">
        <f t="shared" ref="J7:J10" si="2">I7/(1+(1-F7)*G7)</f>
        <v>1.1057192305033345</v>
      </c>
    </row>
    <row r="8" spans="2:10">
      <c r="B8" s="140" t="s">
        <v>272</v>
      </c>
      <c r="C8" s="140"/>
      <c r="D8" s="37">
        <v>3222.2</v>
      </c>
      <c r="E8" s="37">
        <v>148436.82</v>
      </c>
      <c r="F8" s="38">
        <v>0.26</v>
      </c>
      <c r="G8" s="39">
        <f t="shared" si="0"/>
        <v>2.1707552075017504E-2</v>
      </c>
      <c r="H8" s="39">
        <f t="shared" si="1"/>
        <v>2.1246345914670946E-2</v>
      </c>
      <c r="I8" s="40">
        <f>Godrej!M8</f>
        <v>0.68510983924817803</v>
      </c>
      <c r="J8" s="40">
        <f t="shared" si="2"/>
        <v>0.67427850675728884</v>
      </c>
    </row>
    <row r="9" spans="2:10">
      <c r="B9" s="140" t="s">
        <v>273</v>
      </c>
      <c r="C9" s="140"/>
      <c r="D9" s="37">
        <v>2064.96</v>
      </c>
      <c r="E9" s="37">
        <v>141729.28</v>
      </c>
      <c r="F9" s="38">
        <v>0.26</v>
      </c>
      <c r="G9" s="39">
        <f t="shared" si="0"/>
        <v>1.4569748749164604E-2</v>
      </c>
      <c r="H9" s="39">
        <f t="shared" si="1"/>
        <v>1.436051958687636E-2</v>
      </c>
      <c r="I9" s="40">
        <f>Britania!M8</f>
        <v>0.74759353232161174</v>
      </c>
      <c r="J9" s="40">
        <f t="shared" si="2"/>
        <v>0.73961924308072902</v>
      </c>
    </row>
    <row r="10" spans="2:10">
      <c r="B10" s="137" t="s">
        <v>274</v>
      </c>
      <c r="C10" s="137"/>
      <c r="D10" s="42">
        <v>1365.09</v>
      </c>
      <c r="E10" s="42">
        <v>113330.5</v>
      </c>
      <c r="F10" s="43">
        <v>0.26</v>
      </c>
      <c r="G10" s="44">
        <f t="shared" si="0"/>
        <v>1.2045212895028258E-2</v>
      </c>
      <c r="H10" s="44">
        <f t="shared" si="1"/>
        <v>1.1901852547251381E-2</v>
      </c>
      <c r="I10" s="45">
        <f>dabur!M8</f>
        <v>0.62463147767480898</v>
      </c>
      <c r="J10" s="45">
        <f t="shared" si="2"/>
        <v>0.61911303987994193</v>
      </c>
    </row>
    <row r="11" spans="2:10">
      <c r="B11" s="47"/>
      <c r="C11" s="47"/>
      <c r="D11" s="48"/>
      <c r="E11" s="48"/>
      <c r="F11" s="49"/>
      <c r="G11" s="50"/>
      <c r="H11" s="50"/>
      <c r="I11" s="36"/>
      <c r="J11" s="36"/>
    </row>
    <row r="12" spans="2:10" ht="3.65" customHeight="1">
      <c r="B12" s="47"/>
      <c r="C12" s="47"/>
      <c r="D12" s="48"/>
      <c r="E12" s="48"/>
      <c r="F12" s="49"/>
      <c r="G12" s="50"/>
      <c r="H12" s="50"/>
      <c r="I12" s="36"/>
      <c r="J12" s="36"/>
    </row>
    <row r="13" spans="2:10">
      <c r="F13" s="51" t="s">
        <v>288</v>
      </c>
      <c r="G13" s="52">
        <f t="shared" ref="G13:H13" si="3">AVERAGE(G6:G10)</f>
        <v>1.5272211617911886E-2</v>
      </c>
      <c r="H13" s="52">
        <f t="shared" si="3"/>
        <v>1.4971768543262976E-2</v>
      </c>
      <c r="I13" s="46">
        <f>AVERAGE(I6:I10)</f>
        <v>0.74696711580267117</v>
      </c>
      <c r="J13" s="46">
        <f>AVERAGE(J6:J10)</f>
        <v>0.73763362962575463</v>
      </c>
    </row>
    <row r="14" spans="2:10">
      <c r="F14" s="51" t="s">
        <v>289</v>
      </c>
      <c r="G14" s="52">
        <f t="shared" ref="G14:H14" si="4">MEDIAN(G6:G10)</f>
        <v>1.4569748749164604E-2</v>
      </c>
      <c r="H14" s="52">
        <f t="shared" si="4"/>
        <v>1.436051958687636E-2</v>
      </c>
      <c r="I14" s="46">
        <f>MEDIAN(I6:I10)</f>
        <v>0.68510983924817803</v>
      </c>
      <c r="J14" s="46">
        <f>MEDIAN(J6:J10)</f>
        <v>0.67427850675728884</v>
      </c>
    </row>
    <row r="16" spans="2:10">
      <c r="B16" s="2" t="s">
        <v>290</v>
      </c>
      <c r="C16" s="3"/>
      <c r="D16" s="3"/>
      <c r="E16" s="3"/>
      <c r="F16" s="3"/>
      <c r="G16" s="3"/>
      <c r="H16" s="3"/>
      <c r="I16" s="3"/>
      <c r="J16" s="3"/>
    </row>
    <row r="18" spans="2:3">
      <c r="B18" t="s">
        <v>280</v>
      </c>
      <c r="C18">
        <v>1484</v>
      </c>
    </row>
    <row r="19" spans="2:3">
      <c r="B19" s="54" t="s">
        <v>291</v>
      </c>
      <c r="C19" s="54">
        <v>636551.29</v>
      </c>
    </row>
    <row r="20" spans="2:3">
      <c r="B20" s="54" t="s">
        <v>283</v>
      </c>
      <c r="C20" s="55">
        <f>C18/C19</f>
        <v>2.3313125325690564E-3</v>
      </c>
    </row>
    <row r="21" spans="2:3">
      <c r="B21" s="54" t="s">
        <v>282</v>
      </c>
      <c r="C21" s="55">
        <v>0.26</v>
      </c>
    </row>
    <row r="22" spans="2:3">
      <c r="B22" t="s">
        <v>293</v>
      </c>
      <c r="C22" s="36">
        <f>J14</f>
        <v>0.67427850675728884</v>
      </c>
    </row>
    <row r="23" spans="2:3" ht="15" thickBot="1">
      <c r="B23" s="53" t="s">
        <v>294</v>
      </c>
      <c r="C23" s="53">
        <f>C22*(1+(1-C21)*C20)</f>
        <v>0.6754417526678903</v>
      </c>
    </row>
  </sheetData>
  <mergeCells count="6">
    <mergeCell ref="B10:C10"/>
    <mergeCell ref="B5:C5"/>
    <mergeCell ref="B6:C6"/>
    <mergeCell ref="B7:C7"/>
    <mergeCell ref="B8:C8"/>
    <mergeCell ref="B9:C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C0953-547A-4CF5-9BD4-94405905FBEA}">
  <dimension ref="B5:S67"/>
  <sheetViews>
    <sheetView showGridLines="0" workbookViewId="0">
      <selection activeCell="N6" sqref="N6"/>
    </sheetView>
  </sheetViews>
  <sheetFormatPr defaultRowHeight="14.5"/>
  <cols>
    <col min="2" max="2" width="10.36328125" bestFit="1" customWidth="1"/>
    <col min="3" max="3" width="8.81640625" bestFit="1" customWidth="1"/>
    <col min="4" max="4" width="11.453125" customWidth="1"/>
    <col min="6" max="6" width="10.36328125" bestFit="1" customWidth="1"/>
    <col min="7" max="7" width="8.81640625" bestFit="1" customWidth="1"/>
    <col min="8" max="8" width="7.6328125" bestFit="1" customWidth="1"/>
  </cols>
  <sheetData>
    <row r="5" spans="2:13">
      <c r="B5" s="134" t="s">
        <v>275</v>
      </c>
      <c r="C5" s="134"/>
      <c r="D5" s="134"/>
      <c r="F5" s="134" t="s">
        <v>240</v>
      </c>
      <c r="G5" s="134"/>
      <c r="H5" s="134"/>
      <c r="K5" s="32" t="s">
        <v>241</v>
      </c>
      <c r="L5" s="27"/>
      <c r="M5" s="27"/>
    </row>
    <row r="6" spans="2:13" ht="16.5">
      <c r="B6" s="2" t="s">
        <v>236</v>
      </c>
      <c r="C6" s="2" t="s">
        <v>237</v>
      </c>
      <c r="D6" s="2" t="s">
        <v>238</v>
      </c>
      <c r="F6" s="2" t="s">
        <v>236</v>
      </c>
      <c r="G6" s="2" t="s">
        <v>237</v>
      </c>
      <c r="H6" s="2" t="s">
        <v>238</v>
      </c>
      <c r="K6" s="27" t="s">
        <v>242</v>
      </c>
      <c r="L6" s="27"/>
      <c r="M6" s="27">
        <f>SLOPE(D8:D67,H8:H67)</f>
        <v>0.32840213857759132</v>
      </c>
    </row>
    <row r="7" spans="2:13" ht="16.5">
      <c r="B7" s="25">
        <v>43678</v>
      </c>
      <c r="C7" s="26">
        <v>1199.362183</v>
      </c>
      <c r="D7" s="27"/>
      <c r="F7" s="25">
        <v>43678</v>
      </c>
      <c r="G7" s="26">
        <v>11023.25</v>
      </c>
      <c r="H7" s="27"/>
      <c r="K7" s="27" t="s">
        <v>268</v>
      </c>
      <c r="L7" s="27"/>
      <c r="M7" s="27">
        <f>L31</f>
        <v>0.3284021385775911</v>
      </c>
    </row>
    <row r="8" spans="2:13" ht="15" thickBot="1">
      <c r="B8" s="25">
        <v>43709</v>
      </c>
      <c r="C8" s="26">
        <v>1313.834595</v>
      </c>
      <c r="D8" s="28">
        <f>(C8/C7)-1</f>
        <v>9.54444067209681E-2</v>
      </c>
      <c r="F8" s="25">
        <v>43709</v>
      </c>
      <c r="G8" s="26">
        <v>11474.450194999999</v>
      </c>
      <c r="H8" s="28">
        <f>(G8/G7)-1</f>
        <v>4.0931684847935079E-2</v>
      </c>
      <c r="K8" s="33" t="s">
        <v>269</v>
      </c>
      <c r="L8" s="34"/>
      <c r="M8" s="33">
        <f>0.33+0.67*M7</f>
        <v>0.55002943284698602</v>
      </c>
    </row>
    <row r="9" spans="2:13">
      <c r="B9" s="25">
        <v>43739</v>
      </c>
      <c r="C9" s="26">
        <v>1413.85022</v>
      </c>
      <c r="D9" s="28">
        <f t="shared" ref="D9:D67" si="0">(C9/C8)-1</f>
        <v>7.6124974468342321E-2</v>
      </c>
      <c r="F9" s="25">
        <v>43739</v>
      </c>
      <c r="G9" s="26">
        <v>11877.450194999999</v>
      </c>
      <c r="H9" s="28">
        <f t="shared" ref="H9:H67" si="1">(G9/G8)-1</f>
        <v>3.5121508495074449E-2</v>
      </c>
    </row>
    <row r="10" spans="2:13">
      <c r="B10" s="25">
        <v>43770</v>
      </c>
      <c r="C10" s="26">
        <v>1367.2124020000001</v>
      </c>
      <c r="D10" s="28">
        <f t="shared" si="0"/>
        <v>-3.2986392292671529E-2</v>
      </c>
      <c r="F10" s="25">
        <v>43770</v>
      </c>
      <c r="G10" s="26">
        <v>12056.049805000001</v>
      </c>
      <c r="H10" s="28">
        <f t="shared" si="1"/>
        <v>1.5036864568389152E-2</v>
      </c>
    </row>
    <row r="11" spans="2:13">
      <c r="B11" s="25">
        <v>43800</v>
      </c>
      <c r="C11" s="26">
        <v>1398.559814</v>
      </c>
      <c r="D11" s="28">
        <f t="shared" si="0"/>
        <v>2.2927975166217029E-2</v>
      </c>
      <c r="F11" s="25">
        <v>43800</v>
      </c>
      <c r="G11" s="26">
        <v>12168.450194999999</v>
      </c>
      <c r="H11" s="28">
        <f t="shared" si="1"/>
        <v>9.3231524270398491E-3</v>
      </c>
    </row>
    <row r="12" spans="2:13">
      <c r="B12" s="25">
        <v>43831</v>
      </c>
      <c r="C12" s="26">
        <v>1458.500732</v>
      </c>
      <c r="D12" s="28">
        <f t="shared" si="0"/>
        <v>4.285903069713104E-2</v>
      </c>
      <c r="F12" s="25">
        <v>43831</v>
      </c>
      <c r="G12" s="26">
        <v>11962.099609000001</v>
      </c>
      <c r="H12" s="28">
        <f t="shared" si="1"/>
        <v>-1.6957836264538284E-2</v>
      </c>
    </row>
    <row r="13" spans="2:13">
      <c r="B13" s="25">
        <v>43862</v>
      </c>
      <c r="C13" s="26">
        <v>1498.3260499999999</v>
      </c>
      <c r="D13" s="28">
        <f t="shared" si="0"/>
        <v>2.7305655133534668E-2</v>
      </c>
      <c r="F13" s="25">
        <v>43862</v>
      </c>
      <c r="G13" s="26">
        <v>11201.75</v>
      </c>
      <c r="H13" s="28">
        <f t="shared" si="1"/>
        <v>-6.35632233348008E-2</v>
      </c>
    </row>
    <row r="14" spans="2:13">
      <c r="B14" s="25">
        <v>43891</v>
      </c>
      <c r="C14" s="26">
        <v>1547.870361</v>
      </c>
      <c r="D14" s="28">
        <f t="shared" si="0"/>
        <v>3.3066441713404116E-2</v>
      </c>
      <c r="F14" s="25">
        <v>43891</v>
      </c>
      <c r="G14" s="26">
        <v>8597.75</v>
      </c>
      <c r="H14" s="28">
        <f t="shared" si="1"/>
        <v>-0.23246367755038277</v>
      </c>
      <c r="K14" t="s">
        <v>243</v>
      </c>
    </row>
    <row r="15" spans="2:13" ht="15" thickBot="1">
      <c r="B15" s="25">
        <v>43922</v>
      </c>
      <c r="C15" s="26">
        <v>1702.0864260000001</v>
      </c>
      <c r="D15" s="28">
        <f t="shared" si="0"/>
        <v>9.963112472828084E-2</v>
      </c>
      <c r="F15" s="25">
        <v>43922</v>
      </c>
      <c r="G15" s="26">
        <v>9859.9003909999992</v>
      </c>
      <c r="H15" s="28">
        <f t="shared" si="1"/>
        <v>0.14680008036986414</v>
      </c>
    </row>
    <row r="16" spans="2:13">
      <c r="B16" s="25">
        <v>43952</v>
      </c>
      <c r="C16" s="26">
        <v>1665.636841</v>
      </c>
      <c r="D16" s="28">
        <f t="shared" si="0"/>
        <v>-2.1414649951506104E-2</v>
      </c>
      <c r="F16" s="25">
        <v>43952</v>
      </c>
      <c r="G16" s="26">
        <v>9580.2998050000006</v>
      </c>
      <c r="H16" s="28">
        <f t="shared" si="1"/>
        <v>-2.8357343878972152E-2</v>
      </c>
      <c r="K16" s="31" t="s">
        <v>244</v>
      </c>
      <c r="L16" s="31"/>
    </row>
    <row r="17" spans="2:19">
      <c r="B17" s="25">
        <v>43983</v>
      </c>
      <c r="C17" s="26">
        <v>1630.849365</v>
      </c>
      <c r="D17" s="28">
        <f t="shared" si="0"/>
        <v>-2.0885390586770747E-2</v>
      </c>
      <c r="F17" s="25">
        <v>43983</v>
      </c>
      <c r="G17" s="26">
        <v>10302.099609000001</v>
      </c>
      <c r="H17" s="28">
        <f t="shared" si="1"/>
        <v>7.5342089359592856E-2</v>
      </c>
      <c r="K17" t="s">
        <v>245</v>
      </c>
      <c r="L17">
        <v>0.34621723466567855</v>
      </c>
    </row>
    <row r="18" spans="2:19">
      <c r="B18" s="25">
        <v>44013</v>
      </c>
      <c r="C18" s="26">
        <v>1574.7224120000001</v>
      </c>
      <c r="D18" s="28">
        <f t="shared" si="0"/>
        <v>-3.4415780025152665E-2</v>
      </c>
      <c r="F18" s="25">
        <v>44013</v>
      </c>
      <c r="G18" s="26">
        <v>11073.450194999999</v>
      </c>
      <c r="H18" s="28">
        <f t="shared" si="1"/>
        <v>7.4873143851777568E-2</v>
      </c>
      <c r="K18" t="s">
        <v>246</v>
      </c>
      <c r="L18">
        <v>0.11986637357954952</v>
      </c>
    </row>
    <row r="19" spans="2:19">
      <c r="B19" s="25">
        <v>44044</v>
      </c>
      <c r="C19" s="26">
        <v>1520.1435550000001</v>
      </c>
      <c r="D19" s="28">
        <f t="shared" si="0"/>
        <v>-3.4659351123783932E-2</v>
      </c>
      <c r="F19" s="25">
        <v>44044</v>
      </c>
      <c r="G19" s="26">
        <v>11387.5</v>
      </c>
      <c r="H19" s="28">
        <f t="shared" si="1"/>
        <v>2.8360610240682149E-2</v>
      </c>
      <c r="K19" t="s">
        <v>247</v>
      </c>
      <c r="L19">
        <v>0.1046916558826452</v>
      </c>
    </row>
    <row r="20" spans="2:19">
      <c r="B20" s="25">
        <v>44075</v>
      </c>
      <c r="C20" s="26">
        <v>1517.198486</v>
      </c>
      <c r="D20" s="28">
        <f t="shared" si="0"/>
        <v>-1.9373624223273378E-3</v>
      </c>
      <c r="F20" s="25">
        <v>44075</v>
      </c>
      <c r="G20" s="26">
        <v>11247.549805000001</v>
      </c>
      <c r="H20" s="28">
        <f t="shared" si="1"/>
        <v>-1.2289808562019666E-2</v>
      </c>
      <c r="K20" t="s">
        <v>248</v>
      </c>
      <c r="L20">
        <v>4.7839228185536327E-2</v>
      </c>
    </row>
    <row r="21" spans="2:19" ht="15" thickBot="1">
      <c r="B21" s="25">
        <v>44105</v>
      </c>
      <c r="C21" s="26">
        <v>1635.6633300000001</v>
      </c>
      <c r="D21" s="28">
        <f t="shared" si="0"/>
        <v>7.8081309132020937E-2</v>
      </c>
      <c r="F21" s="25">
        <v>44105</v>
      </c>
      <c r="G21" s="26">
        <v>11642.400390999999</v>
      </c>
      <c r="H21" s="28">
        <f t="shared" si="1"/>
        <v>3.5105475667640107E-2</v>
      </c>
      <c r="K21" s="29" t="s">
        <v>249</v>
      </c>
      <c r="L21" s="29">
        <v>60</v>
      </c>
    </row>
    <row r="22" spans="2:19">
      <c r="B22" s="25">
        <v>44136</v>
      </c>
      <c r="C22" s="26">
        <v>1718.5390629999999</v>
      </c>
      <c r="D22" s="28">
        <f t="shared" si="0"/>
        <v>5.0667965393587311E-2</v>
      </c>
      <c r="F22" s="25">
        <v>44136</v>
      </c>
      <c r="G22" s="26">
        <v>12968.950194999999</v>
      </c>
      <c r="H22" s="28">
        <f t="shared" si="1"/>
        <v>0.1139412629225045</v>
      </c>
    </row>
    <row r="23" spans="2:19" ht="15" thickBot="1">
      <c r="B23" s="25">
        <v>44166</v>
      </c>
      <c r="C23" s="26">
        <v>1766.6972659999999</v>
      </c>
      <c r="D23" s="28">
        <f t="shared" si="0"/>
        <v>2.8022757257511355E-2</v>
      </c>
      <c r="F23" s="25">
        <v>44166</v>
      </c>
      <c r="G23" s="26">
        <v>13981.75</v>
      </c>
      <c r="H23" s="28">
        <f t="shared" si="1"/>
        <v>7.8094201132060226E-2</v>
      </c>
      <c r="K23" t="s">
        <v>250</v>
      </c>
    </row>
    <row r="24" spans="2:19">
      <c r="B24" s="25">
        <v>44197</v>
      </c>
      <c r="C24" s="26">
        <v>1638.9041749999999</v>
      </c>
      <c r="D24" s="28">
        <f t="shared" si="0"/>
        <v>-7.2334459026666131E-2</v>
      </c>
      <c r="F24" s="25">
        <v>44197</v>
      </c>
      <c r="G24" s="26">
        <v>13634.599609000001</v>
      </c>
      <c r="H24" s="28">
        <f t="shared" si="1"/>
        <v>-2.4828822643803483E-2</v>
      </c>
      <c r="K24" s="30"/>
      <c r="L24" s="30" t="s">
        <v>255</v>
      </c>
      <c r="M24" s="30" t="s">
        <v>256</v>
      </c>
      <c r="N24" s="30" t="s">
        <v>257</v>
      </c>
      <c r="O24" s="30" t="s">
        <v>258</v>
      </c>
      <c r="P24" s="30" t="s">
        <v>259</v>
      </c>
    </row>
    <row r="25" spans="2:19">
      <c r="B25" s="25">
        <v>44228</v>
      </c>
      <c r="C25" s="26">
        <v>1546.833496</v>
      </c>
      <c r="D25" s="28">
        <f t="shared" si="0"/>
        <v>-5.6178195409136711E-2</v>
      </c>
      <c r="F25" s="25">
        <v>44228</v>
      </c>
      <c r="G25" s="26">
        <v>14529.150390999999</v>
      </c>
      <c r="H25" s="28">
        <f t="shared" si="1"/>
        <v>6.5608877976109925E-2</v>
      </c>
      <c r="K25" t="s">
        <v>251</v>
      </c>
      <c r="L25">
        <v>1</v>
      </c>
      <c r="M25">
        <v>1.8077779077143752E-2</v>
      </c>
      <c r="N25">
        <v>1.8077779077143752E-2</v>
      </c>
      <c r="O25">
        <v>7.8990842514324049</v>
      </c>
      <c r="P25">
        <v>6.7337695826166326E-3</v>
      </c>
    </row>
    <row r="26" spans="2:19">
      <c r="B26" s="25">
        <v>44256</v>
      </c>
      <c r="C26" s="26">
        <v>1649.010254</v>
      </c>
      <c r="D26" s="28">
        <f t="shared" si="0"/>
        <v>6.6055434062051166E-2</v>
      </c>
      <c r="F26" s="25">
        <v>44256</v>
      </c>
      <c r="G26" s="26">
        <v>14690.700194999999</v>
      </c>
      <c r="H26" s="28">
        <f t="shared" si="1"/>
        <v>1.1119012444118725E-2</v>
      </c>
      <c r="K26" t="s">
        <v>252</v>
      </c>
      <c r="L26">
        <v>58</v>
      </c>
      <c r="M26">
        <v>0.13273832169649319</v>
      </c>
      <c r="N26">
        <v>2.2885917533878135E-3</v>
      </c>
    </row>
    <row r="27" spans="2:19" ht="15" thickBot="1">
      <c r="B27" s="25">
        <v>44287</v>
      </c>
      <c r="C27" s="26">
        <v>1566.781982</v>
      </c>
      <c r="D27" s="28">
        <f t="shared" si="0"/>
        <v>-4.9865227824107961E-2</v>
      </c>
      <c r="F27" s="25">
        <v>44287</v>
      </c>
      <c r="G27" s="26">
        <v>14631.099609000001</v>
      </c>
      <c r="H27" s="28">
        <f t="shared" si="1"/>
        <v>-4.057028270189833E-3</v>
      </c>
      <c r="K27" s="29" t="s">
        <v>253</v>
      </c>
      <c r="L27" s="29">
        <v>59</v>
      </c>
      <c r="M27" s="29">
        <v>0.15081610077363694</v>
      </c>
      <c r="N27" s="29"/>
      <c r="O27" s="29"/>
      <c r="P27" s="29"/>
    </row>
    <row r="28" spans="2:19" ht="15" thickBot="1">
      <c r="B28" s="25">
        <v>44317</v>
      </c>
      <c r="C28" s="26">
        <v>1709.2075199999999</v>
      </c>
      <c r="D28" s="28">
        <f t="shared" si="0"/>
        <v>9.0903226891972277E-2</v>
      </c>
      <c r="F28" s="25">
        <v>44317</v>
      </c>
      <c r="G28" s="26">
        <v>15582.799805000001</v>
      </c>
      <c r="H28" s="28">
        <f t="shared" si="1"/>
        <v>6.504638895456516E-2</v>
      </c>
    </row>
    <row r="29" spans="2:19">
      <c r="B29" s="25">
        <v>44348</v>
      </c>
      <c r="C29" s="26">
        <v>1703.1657709999999</v>
      </c>
      <c r="D29" s="28">
        <f t="shared" si="0"/>
        <v>-3.5348247239165298E-3</v>
      </c>
      <c r="F29" s="25">
        <v>44348</v>
      </c>
      <c r="G29" s="26">
        <v>15721.5</v>
      </c>
      <c r="H29" s="28">
        <f t="shared" si="1"/>
        <v>8.9008520121971468E-3</v>
      </c>
      <c r="K29" s="30"/>
      <c r="L29" s="30" t="s">
        <v>260</v>
      </c>
      <c r="M29" s="30" t="s">
        <v>248</v>
      </c>
      <c r="N29" s="30" t="s">
        <v>261</v>
      </c>
      <c r="O29" s="30" t="s">
        <v>262</v>
      </c>
      <c r="P29" s="30" t="s">
        <v>263</v>
      </c>
      <c r="Q29" s="30" t="s">
        <v>264</v>
      </c>
      <c r="R29" s="30" t="s">
        <v>265</v>
      </c>
      <c r="S29" s="30" t="s">
        <v>266</v>
      </c>
    </row>
    <row r="30" spans="2:19">
      <c r="B30" s="25">
        <v>44378</v>
      </c>
      <c r="C30" s="26">
        <v>1709.893311</v>
      </c>
      <c r="D30" s="28">
        <f t="shared" si="0"/>
        <v>3.9500206700666673E-3</v>
      </c>
      <c r="F30" s="25">
        <v>44378</v>
      </c>
      <c r="G30" s="26">
        <v>15763.049805000001</v>
      </c>
      <c r="H30" s="28">
        <f t="shared" si="1"/>
        <v>2.6428651846197582E-3</v>
      </c>
      <c r="K30" t="s">
        <v>254</v>
      </c>
      <c r="L30">
        <v>8.3892008962068929E-3</v>
      </c>
      <c r="M30">
        <v>6.422729733200387E-3</v>
      </c>
      <c r="N30">
        <v>1.3061737368211868</v>
      </c>
      <c r="O30">
        <v>0.19664993889090027</v>
      </c>
      <c r="P30">
        <v>-4.4672895066797842E-3</v>
      </c>
      <c r="Q30">
        <v>2.124569129909357E-2</v>
      </c>
      <c r="R30">
        <v>-4.4672895066797842E-3</v>
      </c>
      <c r="S30">
        <v>2.124569129909357E-2</v>
      </c>
    </row>
    <row r="31" spans="2:19" ht="15" thickBot="1">
      <c r="B31" s="25">
        <v>44409</v>
      </c>
      <c r="C31" s="26">
        <v>1880.383789</v>
      </c>
      <c r="D31" s="28">
        <f t="shared" si="0"/>
        <v>9.9708254838596799E-2</v>
      </c>
      <c r="F31" s="25">
        <v>44409</v>
      </c>
      <c r="G31" s="26">
        <v>17132.199218999998</v>
      </c>
      <c r="H31" s="28">
        <f t="shared" si="1"/>
        <v>8.6858154414110045E-2</v>
      </c>
      <c r="K31" s="29" t="s">
        <v>267</v>
      </c>
      <c r="L31" s="29">
        <v>0.3284021385775911</v>
      </c>
      <c r="M31" s="29">
        <v>0.11684700997264157</v>
      </c>
      <c r="N31" s="29">
        <v>2.810530955430377</v>
      </c>
      <c r="O31" s="29">
        <v>6.7337695826167393E-3</v>
      </c>
      <c r="P31" s="29">
        <v>9.4507435745261825E-2</v>
      </c>
      <c r="Q31" s="29">
        <v>0.56229684140992031</v>
      </c>
      <c r="R31" s="29">
        <v>9.4507435745261825E-2</v>
      </c>
      <c r="S31" s="29">
        <v>0.56229684140992031</v>
      </c>
    </row>
    <row r="32" spans="2:19">
      <c r="B32" s="25">
        <v>44440</v>
      </c>
      <c r="C32" s="26">
        <v>1878.2395019999999</v>
      </c>
      <c r="D32" s="28">
        <f t="shared" si="0"/>
        <v>-1.1403453978617861E-3</v>
      </c>
      <c r="F32" s="25">
        <v>44440</v>
      </c>
      <c r="G32" s="26">
        <v>17618.150390999999</v>
      </c>
      <c r="H32" s="28">
        <f t="shared" si="1"/>
        <v>2.8364786434485811E-2</v>
      </c>
    </row>
    <row r="33" spans="2:8">
      <c r="B33" s="25">
        <v>44470</v>
      </c>
      <c r="C33" s="26">
        <v>1835.2186280000001</v>
      </c>
      <c r="D33" s="28">
        <f t="shared" si="0"/>
        <v>-2.2904892562524704E-2</v>
      </c>
      <c r="F33" s="25">
        <v>44470</v>
      </c>
      <c r="G33" s="26">
        <v>17671.650390999999</v>
      </c>
      <c r="H33" s="28">
        <f t="shared" si="1"/>
        <v>3.0366411236522062E-3</v>
      </c>
    </row>
    <row r="34" spans="2:8">
      <c r="B34" s="25">
        <v>44501</v>
      </c>
      <c r="C34" s="26">
        <v>1860.887207</v>
      </c>
      <c r="D34" s="28">
        <f t="shared" si="0"/>
        <v>1.3986660013348473E-2</v>
      </c>
      <c r="F34" s="25">
        <v>44501</v>
      </c>
      <c r="G34" s="26">
        <v>16983.199218999998</v>
      </c>
      <c r="H34" s="28">
        <f t="shared" si="1"/>
        <v>-3.8957944321409976E-2</v>
      </c>
    </row>
    <row r="35" spans="2:8">
      <c r="B35" s="25">
        <v>44531</v>
      </c>
      <c r="C35" s="26">
        <v>1914.6320800000001</v>
      </c>
      <c r="D35" s="28">
        <f t="shared" si="0"/>
        <v>2.8881316824486136E-2</v>
      </c>
      <c r="F35" s="25">
        <v>44531</v>
      </c>
      <c r="G35" s="26">
        <v>17354.050781000002</v>
      </c>
      <c r="H35" s="28">
        <f t="shared" si="1"/>
        <v>2.1836378247575006E-2</v>
      </c>
    </row>
    <row r="36" spans="2:8">
      <c r="B36" s="25">
        <v>44562</v>
      </c>
      <c r="C36" s="26">
        <v>1799.578491</v>
      </c>
      <c r="D36" s="28">
        <f t="shared" si="0"/>
        <v>-6.0091748279909818E-2</v>
      </c>
      <c r="F36" s="25">
        <v>44562</v>
      </c>
      <c r="G36" s="26">
        <v>17339.849609000001</v>
      </c>
      <c r="H36" s="28">
        <f t="shared" si="1"/>
        <v>-8.183202976188575E-4</v>
      </c>
    </row>
    <row r="37" spans="2:8">
      <c r="B37" s="25">
        <v>44593</v>
      </c>
      <c r="C37" s="26">
        <v>1713.843384</v>
      </c>
      <c r="D37" s="28">
        <f t="shared" si="0"/>
        <v>-4.7641771353000628E-2</v>
      </c>
      <c r="F37" s="25">
        <v>44593</v>
      </c>
      <c r="G37" s="26">
        <v>16793.900390999999</v>
      </c>
      <c r="H37" s="28">
        <f t="shared" si="1"/>
        <v>-3.1485233742548413E-2</v>
      </c>
    </row>
    <row r="38" spans="2:8">
      <c r="B38" s="25">
        <v>44621</v>
      </c>
      <c r="C38" s="26">
        <v>1688.7174070000001</v>
      </c>
      <c r="D38" s="28">
        <f t="shared" si="0"/>
        <v>-1.4660602733347461E-2</v>
      </c>
      <c r="F38" s="25">
        <v>44621</v>
      </c>
      <c r="G38" s="26">
        <v>17464.75</v>
      </c>
      <c r="H38" s="28">
        <f t="shared" si="1"/>
        <v>3.9946027627954406E-2</v>
      </c>
    </row>
    <row r="39" spans="2:8">
      <c r="B39" s="25">
        <v>44652</v>
      </c>
      <c r="C39" s="26">
        <v>1780.9963379999999</v>
      </c>
      <c r="D39" s="28">
        <f t="shared" si="0"/>
        <v>5.464438905970237E-2</v>
      </c>
      <c r="F39" s="25">
        <v>44652</v>
      </c>
      <c r="G39" s="26">
        <v>17102.550781000002</v>
      </c>
      <c r="H39" s="28">
        <f t="shared" si="1"/>
        <v>-2.0738872242660134E-2</v>
      </c>
    </row>
    <row r="40" spans="2:8">
      <c r="B40" s="25">
        <v>44682</v>
      </c>
      <c r="C40" s="26">
        <v>1727.4228519999999</v>
      </c>
      <c r="D40" s="28">
        <f t="shared" si="0"/>
        <v>-3.0080626701434632E-2</v>
      </c>
      <c r="F40" s="25">
        <v>44682</v>
      </c>
      <c r="G40" s="26">
        <v>16584.550781000002</v>
      </c>
      <c r="H40" s="28">
        <f t="shared" si="1"/>
        <v>-3.0287879663861039E-2</v>
      </c>
    </row>
    <row r="41" spans="2:8">
      <c r="B41" s="25">
        <v>44713</v>
      </c>
      <c r="C41" s="26">
        <v>1705.795288</v>
      </c>
      <c r="D41" s="28">
        <f t="shared" si="0"/>
        <v>-1.2520133084357177E-2</v>
      </c>
      <c r="F41" s="25">
        <v>44713</v>
      </c>
      <c r="G41" s="26">
        <v>15780.25</v>
      </c>
      <c r="H41" s="28">
        <f t="shared" si="1"/>
        <v>-4.8496989253483114E-2</v>
      </c>
    </row>
    <row r="42" spans="2:8">
      <c r="B42" s="25">
        <v>44743</v>
      </c>
      <c r="C42" s="26">
        <v>1890.249634</v>
      </c>
      <c r="D42" s="28">
        <f t="shared" si="0"/>
        <v>0.10813392867104699</v>
      </c>
      <c r="F42" s="25">
        <v>44743</v>
      </c>
      <c r="G42" s="26">
        <v>17158.25</v>
      </c>
      <c r="H42" s="28">
        <f t="shared" si="1"/>
        <v>8.7324345305048956E-2</v>
      </c>
    </row>
    <row r="43" spans="2:8">
      <c r="B43" s="25">
        <v>44774</v>
      </c>
      <c r="C43" s="26">
        <v>1945.587769</v>
      </c>
      <c r="D43" s="28">
        <f t="shared" si="0"/>
        <v>2.9275569747313046E-2</v>
      </c>
      <c r="F43" s="25">
        <v>44774</v>
      </c>
      <c r="G43" s="26">
        <v>17759.300781000002</v>
      </c>
      <c r="H43" s="28">
        <f t="shared" si="1"/>
        <v>3.5029841679658613E-2</v>
      </c>
    </row>
    <row r="44" spans="2:8">
      <c r="B44" s="25">
        <v>44805</v>
      </c>
      <c r="C44" s="26">
        <v>1869.3249510000001</v>
      </c>
      <c r="D44" s="28">
        <f t="shared" si="0"/>
        <v>-3.9197829681668739E-2</v>
      </c>
      <c r="F44" s="25">
        <v>44805</v>
      </c>
      <c r="G44" s="26">
        <v>17094.349609000001</v>
      </c>
      <c r="H44" s="28">
        <f t="shared" si="1"/>
        <v>-3.7442418493829788E-2</v>
      </c>
    </row>
    <row r="45" spans="2:8">
      <c r="B45" s="25">
        <v>44835</v>
      </c>
      <c r="C45" s="26">
        <v>1988.3107910000001</v>
      </c>
      <c r="D45" s="28">
        <f t="shared" si="0"/>
        <v>6.3651769017659676E-2</v>
      </c>
      <c r="F45" s="25">
        <v>44835</v>
      </c>
      <c r="G45" s="26">
        <v>18012.199218999998</v>
      </c>
      <c r="H45" s="28">
        <f t="shared" si="1"/>
        <v>5.3693157738903263E-2</v>
      </c>
    </row>
    <row r="46" spans="2:8">
      <c r="B46" s="25">
        <v>44866</v>
      </c>
      <c r="C46" s="26">
        <v>1982.5085449999999</v>
      </c>
      <c r="D46" s="28">
        <f t="shared" si="0"/>
        <v>-2.9181785997761667E-3</v>
      </c>
      <c r="F46" s="25">
        <v>44866</v>
      </c>
      <c r="G46" s="26">
        <v>18758.349609000001</v>
      </c>
      <c r="H46" s="28">
        <f t="shared" si="1"/>
        <v>4.1424724484111497E-2</v>
      </c>
    </row>
    <row r="47" spans="2:8">
      <c r="B47" s="25">
        <v>44896</v>
      </c>
      <c r="C47" s="26">
        <v>1925.750732</v>
      </c>
      <c r="D47" s="28">
        <f t="shared" si="0"/>
        <v>-2.8629290472995117E-2</v>
      </c>
      <c r="F47" s="25">
        <v>44896</v>
      </c>
      <c r="G47" s="26">
        <v>18105.300781000002</v>
      </c>
      <c r="H47" s="28">
        <f t="shared" si="1"/>
        <v>-3.4813767821379904E-2</v>
      </c>
    </row>
    <row r="48" spans="2:8">
      <c r="B48" s="25">
        <v>44927</v>
      </c>
      <c r="C48" s="26">
        <v>1867.971436</v>
      </c>
      <c r="D48" s="28">
        <f t="shared" si="0"/>
        <v>-3.0003517609983099E-2</v>
      </c>
      <c r="F48" s="25">
        <v>44927</v>
      </c>
      <c r="G48" s="26">
        <v>17662.150390999999</v>
      </c>
      <c r="H48" s="28">
        <f t="shared" si="1"/>
        <v>-2.4476278818027275E-2</v>
      </c>
    </row>
    <row r="49" spans="2:8">
      <c r="B49" s="25">
        <v>44958</v>
      </c>
      <c r="C49" s="26">
        <v>1833.8145750000001</v>
      </c>
      <c r="D49" s="28">
        <f t="shared" si="0"/>
        <v>-1.8285537102827432E-2</v>
      </c>
      <c r="F49" s="25">
        <v>44958</v>
      </c>
      <c r="G49" s="26">
        <v>17303.949218999998</v>
      </c>
      <c r="H49" s="28">
        <f t="shared" si="1"/>
        <v>-2.0280722566065723E-2</v>
      </c>
    </row>
    <row r="50" spans="2:8">
      <c r="B50" s="25">
        <v>44986</v>
      </c>
      <c r="C50" s="26">
        <v>1935.425659</v>
      </c>
      <c r="D50" s="28">
        <f t="shared" si="0"/>
        <v>5.5409682846478514E-2</v>
      </c>
      <c r="F50" s="25">
        <v>44986</v>
      </c>
      <c r="G50" s="26">
        <v>17359.75</v>
      </c>
      <c r="H50" s="28">
        <f t="shared" si="1"/>
        <v>3.2247425309555044E-3</v>
      </c>
    </row>
    <row r="51" spans="2:8">
      <c r="B51" s="25">
        <v>45017</v>
      </c>
      <c r="C51" s="26">
        <v>2137.4594729999999</v>
      </c>
      <c r="D51" s="28">
        <f t="shared" si="0"/>
        <v>0.10438727680420801</v>
      </c>
      <c r="F51" s="25">
        <v>45017</v>
      </c>
      <c r="G51" s="26">
        <v>18065</v>
      </c>
      <c r="H51" s="28">
        <f t="shared" si="1"/>
        <v>4.0625585045867663E-2</v>
      </c>
    </row>
    <row r="52" spans="2:8">
      <c r="B52" s="25">
        <v>45047</v>
      </c>
      <c r="C52" s="26">
        <v>2139.445557</v>
      </c>
      <c r="D52" s="28">
        <f t="shared" si="0"/>
        <v>9.2917972251083114E-4</v>
      </c>
      <c r="F52" s="25">
        <v>45047</v>
      </c>
      <c r="G52" s="26">
        <v>18534.400390999999</v>
      </c>
      <c r="H52" s="28">
        <f t="shared" si="1"/>
        <v>2.5983968502629295E-2</v>
      </c>
    </row>
    <row r="53" spans="2:8">
      <c r="B53" s="25">
        <v>45078</v>
      </c>
      <c r="C53" s="26">
        <v>2259.9953609999998</v>
      </c>
      <c r="D53" s="28">
        <f t="shared" si="0"/>
        <v>5.6346282617744547E-2</v>
      </c>
      <c r="F53" s="25">
        <v>45078</v>
      </c>
      <c r="G53" s="26">
        <v>19189.050781000002</v>
      </c>
      <c r="H53" s="28">
        <f t="shared" si="1"/>
        <v>3.5320829171138879E-2</v>
      </c>
    </row>
    <row r="54" spans="2:8">
      <c r="B54" s="25">
        <v>45108</v>
      </c>
      <c r="C54" s="26">
        <v>2226.3342290000001</v>
      </c>
      <c r="D54" s="28">
        <f t="shared" si="0"/>
        <v>-1.4894336767622973E-2</v>
      </c>
      <c r="F54" s="25">
        <v>45108</v>
      </c>
      <c r="G54" s="26">
        <v>19753.800781000002</v>
      </c>
      <c r="H54" s="28">
        <f t="shared" si="1"/>
        <v>2.9430846082245221E-2</v>
      </c>
    </row>
    <row r="55" spans="2:8">
      <c r="B55" s="25">
        <v>45139</v>
      </c>
      <c r="C55" s="26">
        <v>2170.3728030000002</v>
      </c>
      <c r="D55" s="28">
        <f t="shared" si="0"/>
        <v>-2.513612972888446E-2</v>
      </c>
      <c r="F55" s="25">
        <v>45139</v>
      </c>
      <c r="G55" s="26">
        <v>19253.800781000002</v>
      </c>
      <c r="H55" s="28">
        <f t="shared" si="1"/>
        <v>-2.5311584618233018E-2</v>
      </c>
    </row>
    <row r="56" spans="2:8">
      <c r="B56" s="25">
        <v>45170</v>
      </c>
      <c r="C56" s="26">
        <v>2221.7536620000001</v>
      </c>
      <c r="D56" s="28">
        <f t="shared" si="0"/>
        <v>2.367374809018008E-2</v>
      </c>
      <c r="F56" s="25">
        <v>45170</v>
      </c>
      <c r="G56" s="26">
        <v>19638.300781000002</v>
      </c>
      <c r="H56" s="28">
        <f t="shared" si="1"/>
        <v>1.9970083017553097E-2</v>
      </c>
    </row>
    <row r="57" spans="2:8">
      <c r="B57" s="25">
        <v>45200</v>
      </c>
      <c r="C57" s="26">
        <v>2392.3222660000001</v>
      </c>
      <c r="D57" s="28">
        <f t="shared" si="0"/>
        <v>7.6772059349935251E-2</v>
      </c>
      <c r="F57" s="25">
        <v>45200</v>
      </c>
      <c r="G57" s="26">
        <v>19079.599609000001</v>
      </c>
      <c r="H57" s="28">
        <f t="shared" si="1"/>
        <v>-2.8449567924967445E-2</v>
      </c>
    </row>
    <row r="58" spans="2:8">
      <c r="B58" s="25">
        <v>45231</v>
      </c>
      <c r="C58" s="26">
        <v>2392.4555660000001</v>
      </c>
      <c r="D58" s="28">
        <f t="shared" si="0"/>
        <v>5.5719917794627705E-5</v>
      </c>
      <c r="F58" s="25">
        <v>45231</v>
      </c>
      <c r="G58" s="26">
        <v>20133.150390999999</v>
      </c>
      <c r="H58" s="28">
        <f t="shared" si="1"/>
        <v>5.5218704982835654E-2</v>
      </c>
    </row>
    <row r="59" spans="2:8">
      <c r="B59" s="25">
        <v>45261</v>
      </c>
      <c r="C59" s="26">
        <v>2639.1020509999998</v>
      </c>
      <c r="D59" s="28">
        <f t="shared" si="0"/>
        <v>0.10309344445312885</v>
      </c>
      <c r="F59" s="25">
        <v>45261</v>
      </c>
      <c r="G59" s="26">
        <v>21731.400390999999</v>
      </c>
      <c r="H59" s="28">
        <f t="shared" si="1"/>
        <v>7.9383999471560829E-2</v>
      </c>
    </row>
    <row r="60" spans="2:8">
      <c r="B60" s="25">
        <v>45292</v>
      </c>
      <c r="C60" s="26">
        <v>2488.155029</v>
      </c>
      <c r="D60" s="28">
        <f t="shared" si="0"/>
        <v>-5.7196356595154541E-2</v>
      </c>
      <c r="F60" s="25">
        <v>45292</v>
      </c>
      <c r="G60" s="26">
        <v>21725.699218999998</v>
      </c>
      <c r="H60" s="28">
        <f t="shared" si="1"/>
        <v>-2.6234719794504535E-4</v>
      </c>
    </row>
    <row r="61" spans="2:8">
      <c r="B61" s="25">
        <v>45323</v>
      </c>
      <c r="C61" s="26">
        <v>2577.7124020000001</v>
      </c>
      <c r="D61" s="28">
        <f t="shared" si="0"/>
        <v>3.5993485918758727E-2</v>
      </c>
      <c r="F61" s="25">
        <v>45323</v>
      </c>
      <c r="G61" s="26">
        <v>21982.800781000002</v>
      </c>
      <c r="H61" s="28">
        <f t="shared" si="1"/>
        <v>1.1833983312037999E-2</v>
      </c>
    </row>
    <row r="62" spans="2:8">
      <c r="B62" s="25">
        <v>45352</v>
      </c>
      <c r="C62" s="26">
        <v>2611.025635</v>
      </c>
      <c r="D62" s="28">
        <f t="shared" si="0"/>
        <v>1.2923564697967294E-2</v>
      </c>
      <c r="F62" s="25">
        <v>45352</v>
      </c>
      <c r="G62" s="26">
        <v>22326.900390999999</v>
      </c>
      <c r="H62" s="28">
        <f t="shared" si="1"/>
        <v>1.5653128708576824E-2</v>
      </c>
    </row>
    <row r="63" spans="2:8">
      <c r="B63" s="25">
        <v>45383</v>
      </c>
      <c r="C63" s="26">
        <v>2496.5717770000001</v>
      </c>
      <c r="D63" s="28">
        <f t="shared" si="0"/>
        <v>-4.383482738192257E-2</v>
      </c>
      <c r="F63" s="25">
        <v>45383</v>
      </c>
      <c r="G63" s="26">
        <v>22604.849609000001</v>
      </c>
      <c r="H63" s="28">
        <f t="shared" si="1"/>
        <v>1.2449073231501684E-2</v>
      </c>
    </row>
    <row r="64" spans="2:8">
      <c r="B64" s="25">
        <v>45413</v>
      </c>
      <c r="C64" s="26">
        <v>2344.7302249999998</v>
      </c>
      <c r="D64" s="28">
        <f t="shared" si="0"/>
        <v>-6.0820022640190374E-2</v>
      </c>
      <c r="F64" s="25">
        <v>45413</v>
      </c>
      <c r="G64" s="26">
        <v>22530.699218999998</v>
      </c>
      <c r="H64" s="28">
        <f t="shared" si="1"/>
        <v>-3.2802868093614324E-3</v>
      </c>
    </row>
    <row r="65" spans="2:8">
      <c r="B65" s="25">
        <v>45444</v>
      </c>
      <c r="C65" s="26">
        <v>2540.630615</v>
      </c>
      <c r="D65" s="28">
        <f t="shared" si="0"/>
        <v>8.3549223663886618E-2</v>
      </c>
      <c r="F65" s="25">
        <v>45444</v>
      </c>
      <c r="G65" s="26">
        <v>24010.599609000001</v>
      </c>
      <c r="H65" s="28">
        <f t="shared" si="1"/>
        <v>6.5683731144571489E-2</v>
      </c>
    </row>
    <row r="66" spans="2:8">
      <c r="B66" s="25">
        <v>45474</v>
      </c>
      <c r="C66" s="26">
        <v>2466.2033689999998</v>
      </c>
      <c r="D66" s="28">
        <f t="shared" si="0"/>
        <v>-2.929479223015663E-2</v>
      </c>
      <c r="F66" s="25">
        <v>45474</v>
      </c>
      <c r="G66" s="26">
        <v>24834.849609000001</v>
      </c>
      <c r="H66" s="28">
        <f t="shared" si="1"/>
        <v>3.4328588765898393E-2</v>
      </c>
    </row>
    <row r="67" spans="2:8">
      <c r="B67" s="25">
        <v>45502</v>
      </c>
      <c r="C67" s="26">
        <v>2470.3000489999999</v>
      </c>
      <c r="D67" s="28">
        <f t="shared" si="0"/>
        <v>1.6611282149294748E-3</v>
      </c>
      <c r="F67" s="25">
        <v>45502</v>
      </c>
      <c r="G67" s="26">
        <v>24836.099609000001</v>
      </c>
      <c r="H67" s="28">
        <f t="shared" si="1"/>
        <v>5.0332497264049536E-5</v>
      </c>
    </row>
  </sheetData>
  <mergeCells count="2">
    <mergeCell ref="B5:D5"/>
    <mergeCell ref="F5:H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15F0-A548-40B9-A7F0-E22257000B05}">
  <dimension ref="B5:S67"/>
  <sheetViews>
    <sheetView showGridLines="0" workbookViewId="0">
      <selection activeCell="K5" sqref="K5"/>
    </sheetView>
  </sheetViews>
  <sheetFormatPr defaultRowHeight="14.5"/>
  <cols>
    <col min="2" max="2" width="10.36328125" bestFit="1" customWidth="1"/>
    <col min="3" max="3" width="14.54296875" customWidth="1"/>
    <col min="4" max="4" width="15.453125" customWidth="1"/>
    <col min="6" max="6" width="10.36328125" bestFit="1" customWidth="1"/>
  </cols>
  <sheetData>
    <row r="5" spans="2:13">
      <c r="B5" s="134" t="s">
        <v>276</v>
      </c>
      <c r="C5" s="134"/>
      <c r="D5" s="134"/>
      <c r="F5" s="134" t="s">
        <v>240</v>
      </c>
      <c r="G5" s="134"/>
      <c r="H5" s="134"/>
      <c r="K5" s="32" t="s">
        <v>241</v>
      </c>
      <c r="L5" s="27"/>
      <c r="M5" s="27"/>
    </row>
    <row r="6" spans="2:13" ht="16.5">
      <c r="B6" s="2" t="s">
        <v>236</v>
      </c>
      <c r="C6" s="2" t="s">
        <v>237</v>
      </c>
      <c r="D6" s="2" t="s">
        <v>238</v>
      </c>
      <c r="F6" s="2" t="s">
        <v>236</v>
      </c>
      <c r="G6" s="2" t="s">
        <v>237</v>
      </c>
      <c r="H6" s="2" t="s">
        <v>238</v>
      </c>
      <c r="K6" s="27" t="s">
        <v>242</v>
      </c>
      <c r="L6" s="27"/>
      <c r="M6" s="27">
        <f>SLOPE(D8:D67,H8:H67)</f>
        <v>1.1902556670474196</v>
      </c>
    </row>
    <row r="7" spans="2:13" ht="16.5">
      <c r="B7" s="25">
        <v>43678</v>
      </c>
      <c r="C7" s="26">
        <v>141.117661</v>
      </c>
      <c r="D7" s="27"/>
      <c r="F7" s="25">
        <v>43678</v>
      </c>
      <c r="G7" s="26">
        <v>11023.25</v>
      </c>
      <c r="H7" s="27"/>
      <c r="K7" s="27" t="s">
        <v>268</v>
      </c>
      <c r="L7" s="27"/>
      <c r="M7" s="27">
        <f>L31</f>
        <v>1.1902556670474196</v>
      </c>
    </row>
    <row r="8" spans="2:13" ht="15" thickBot="1">
      <c r="B8" s="25">
        <v>43709</v>
      </c>
      <c r="C8" s="26">
        <v>136.814941</v>
      </c>
      <c r="D8" s="28">
        <f>(C8/C7)-1</f>
        <v>-3.0490301281283272E-2</v>
      </c>
      <c r="F8" s="25">
        <v>43709</v>
      </c>
      <c r="G8" s="26">
        <v>11474.450194999999</v>
      </c>
      <c r="H8" s="28">
        <f>(G8/G7)-1</f>
        <v>4.0931684847935079E-2</v>
      </c>
      <c r="K8" s="33" t="s">
        <v>269</v>
      </c>
      <c r="L8" s="34"/>
      <c r="M8" s="33">
        <f>0.33+0.67*M7</f>
        <v>1.1274712969217713</v>
      </c>
    </row>
    <row r="9" spans="2:13">
      <c r="B9" s="25">
        <v>43739</v>
      </c>
      <c r="C9" s="26">
        <v>135.94903600000001</v>
      </c>
      <c r="D9" s="28">
        <f t="shared" ref="D9:D67" si="0">(C9/C8)-1</f>
        <v>-6.3290236700098701E-3</v>
      </c>
      <c r="F9" s="25">
        <v>43739</v>
      </c>
      <c r="G9" s="26">
        <v>11877.450194999999</v>
      </c>
      <c r="H9" s="28">
        <f t="shared" ref="H9:H67" si="1">(G9/G8)-1</f>
        <v>3.5121508495074449E-2</v>
      </c>
    </row>
    <row r="10" spans="2:13">
      <c r="B10" s="25">
        <v>43770</v>
      </c>
      <c r="C10" s="26">
        <v>158.539627</v>
      </c>
      <c r="D10" s="28">
        <f t="shared" si="0"/>
        <v>0.1661695563622827</v>
      </c>
      <c r="F10" s="25">
        <v>43770</v>
      </c>
      <c r="G10" s="26">
        <v>12056.049805000001</v>
      </c>
      <c r="H10" s="28">
        <f t="shared" si="1"/>
        <v>1.5036864568389152E-2</v>
      </c>
    </row>
    <row r="11" spans="2:13">
      <c r="B11" s="25">
        <v>43800</v>
      </c>
      <c r="C11" s="26">
        <v>155.33902</v>
      </c>
      <c r="D11" s="28">
        <f t="shared" si="0"/>
        <v>-2.0188056831999424E-2</v>
      </c>
      <c r="F11" s="25">
        <v>43800</v>
      </c>
      <c r="G11" s="26">
        <v>12168.450194999999</v>
      </c>
      <c r="H11" s="28">
        <f t="shared" si="1"/>
        <v>9.3231524270398491E-3</v>
      </c>
    </row>
    <row r="12" spans="2:13">
      <c r="B12" s="25">
        <v>43831</v>
      </c>
      <c r="C12" s="26">
        <v>168.16334499999999</v>
      </c>
      <c r="D12" s="28">
        <f t="shared" si="0"/>
        <v>8.2557009822773253E-2</v>
      </c>
      <c r="F12" s="25">
        <v>43831</v>
      </c>
      <c r="G12" s="26">
        <v>11962.099609000001</v>
      </c>
      <c r="H12" s="28">
        <f t="shared" si="1"/>
        <v>-1.6957836264538284E-2</v>
      </c>
    </row>
    <row r="13" spans="2:13">
      <c r="B13" s="25">
        <v>43862</v>
      </c>
      <c r="C13" s="26">
        <v>178.24745200000001</v>
      </c>
      <c r="D13" s="28">
        <f t="shared" si="0"/>
        <v>5.9966141848569965E-2</v>
      </c>
      <c r="F13" s="25">
        <v>43862</v>
      </c>
      <c r="G13" s="26">
        <v>11201.75</v>
      </c>
      <c r="H13" s="28">
        <f t="shared" si="1"/>
        <v>-6.35632233348008E-2</v>
      </c>
    </row>
    <row r="14" spans="2:13">
      <c r="B14" s="25">
        <v>43891</v>
      </c>
      <c r="C14" s="26">
        <v>116.065804</v>
      </c>
      <c r="D14" s="28">
        <f t="shared" si="0"/>
        <v>-0.34885013671892495</v>
      </c>
      <c r="F14" s="25">
        <v>43891</v>
      </c>
      <c r="G14" s="26">
        <v>8597.75</v>
      </c>
      <c r="H14" s="28">
        <f t="shared" si="1"/>
        <v>-0.23246367755038277</v>
      </c>
      <c r="K14" t="s">
        <v>243</v>
      </c>
    </row>
    <row r="15" spans="2:13" ht="15" thickBot="1">
      <c r="B15" s="25">
        <v>43922</v>
      </c>
      <c r="C15" s="26">
        <v>146.77848800000001</v>
      </c>
      <c r="D15" s="28">
        <f t="shared" si="0"/>
        <v>0.26461440787503632</v>
      </c>
      <c r="F15" s="25">
        <v>43922</v>
      </c>
      <c r="G15" s="26">
        <v>9859.9003909999992</v>
      </c>
      <c r="H15" s="28">
        <f t="shared" si="1"/>
        <v>0.14680008036986414</v>
      </c>
    </row>
    <row r="16" spans="2:13">
      <c r="B16" s="25">
        <v>43952</v>
      </c>
      <c r="C16" s="26">
        <v>138.470078</v>
      </c>
      <c r="D16" s="28">
        <f t="shared" si="0"/>
        <v>-5.6605093247724447E-2</v>
      </c>
      <c r="F16" s="25">
        <v>43952</v>
      </c>
      <c r="G16" s="26">
        <v>9580.2998050000006</v>
      </c>
      <c r="H16" s="28">
        <f t="shared" si="1"/>
        <v>-2.8357343878972152E-2</v>
      </c>
      <c r="K16" s="31" t="s">
        <v>244</v>
      </c>
      <c r="L16" s="31"/>
    </row>
    <row r="17" spans="2:19">
      <c r="B17" s="25">
        <v>43983</v>
      </c>
      <c r="C17" s="26">
        <v>149.27757299999999</v>
      </c>
      <c r="D17" s="28">
        <f t="shared" si="0"/>
        <v>7.8049316907295996E-2</v>
      </c>
      <c r="F17" s="25">
        <v>43983</v>
      </c>
      <c r="G17" s="26">
        <v>10302.099609000001</v>
      </c>
      <c r="H17" s="28">
        <f t="shared" si="1"/>
        <v>7.5342089359592856E-2</v>
      </c>
      <c r="K17" t="s">
        <v>245</v>
      </c>
      <c r="L17">
        <v>0.62527985706138034</v>
      </c>
    </row>
    <row r="18" spans="2:19">
      <c r="B18" s="25">
        <v>44013</v>
      </c>
      <c r="C18" s="26">
        <v>155.229401</v>
      </c>
      <c r="D18" s="28">
        <f t="shared" si="0"/>
        <v>3.9870878661726339E-2</v>
      </c>
      <c r="F18" s="25">
        <v>44013</v>
      </c>
      <c r="G18" s="26">
        <v>11073.450194999999</v>
      </c>
      <c r="H18" s="28">
        <f t="shared" si="1"/>
        <v>7.4873143851777568E-2</v>
      </c>
      <c r="K18" t="s">
        <v>246</v>
      </c>
      <c r="L18">
        <v>0.39097489964670024</v>
      </c>
    </row>
    <row r="19" spans="2:19">
      <c r="B19" s="25">
        <v>44044</v>
      </c>
      <c r="C19" s="26">
        <v>161.34561199999999</v>
      </c>
      <c r="D19" s="28">
        <f t="shared" si="0"/>
        <v>3.9401111906629094E-2</v>
      </c>
      <c r="F19" s="25">
        <v>44044</v>
      </c>
      <c r="G19" s="26">
        <v>11387.5</v>
      </c>
      <c r="H19" s="28">
        <f t="shared" si="1"/>
        <v>2.8360610240682149E-2</v>
      </c>
      <c r="K19" t="s">
        <v>247</v>
      </c>
      <c r="L19">
        <v>0.38047446688198816</v>
      </c>
    </row>
    <row r="20" spans="2:19">
      <c r="B20" s="25">
        <v>44075</v>
      </c>
      <c r="C20" s="26">
        <v>153.57920799999999</v>
      </c>
      <c r="D20" s="28">
        <f t="shared" si="0"/>
        <v>-4.8135204321515745E-2</v>
      </c>
      <c r="F20" s="25">
        <v>44075</v>
      </c>
      <c r="G20" s="26">
        <v>11247.549805000001</v>
      </c>
      <c r="H20" s="28">
        <f t="shared" si="1"/>
        <v>-1.2289808562019666E-2</v>
      </c>
      <c r="K20" t="s">
        <v>248</v>
      </c>
      <c r="L20">
        <v>7.9861227180822489E-2</v>
      </c>
    </row>
    <row r="21" spans="2:19" ht="15" thickBot="1">
      <c r="B21" s="25">
        <v>44105</v>
      </c>
      <c r="C21" s="26">
        <v>144.034119</v>
      </c>
      <c r="D21" s="28">
        <f t="shared" si="0"/>
        <v>-6.215091954374441E-2</v>
      </c>
      <c r="F21" s="25">
        <v>44105</v>
      </c>
      <c r="G21" s="26">
        <v>11642.400390999999</v>
      </c>
      <c r="H21" s="28">
        <f t="shared" si="1"/>
        <v>3.5105475667640107E-2</v>
      </c>
      <c r="K21" s="29" t="s">
        <v>249</v>
      </c>
      <c r="L21" s="29">
        <v>60</v>
      </c>
    </row>
    <row r="22" spans="2:19">
      <c r="B22" s="25">
        <v>44136</v>
      </c>
      <c r="C22" s="26">
        <v>191.649643</v>
      </c>
      <c r="D22" s="28">
        <f t="shared" si="0"/>
        <v>0.33058503311982612</v>
      </c>
      <c r="F22" s="25">
        <v>44136</v>
      </c>
      <c r="G22" s="26">
        <v>12968.950194999999</v>
      </c>
      <c r="H22" s="28">
        <f t="shared" si="1"/>
        <v>0.1139412629225045</v>
      </c>
    </row>
    <row r="23" spans="2:19" ht="15" thickBot="1">
      <c r="B23" s="25">
        <v>44166</v>
      </c>
      <c r="C23" s="26">
        <v>201.46963500000001</v>
      </c>
      <c r="D23" s="28">
        <f t="shared" si="0"/>
        <v>5.123929189891574E-2</v>
      </c>
      <c r="F23" s="25">
        <v>44166</v>
      </c>
      <c r="G23" s="26">
        <v>13981.75</v>
      </c>
      <c r="H23" s="28">
        <f t="shared" si="1"/>
        <v>7.8094201132060226E-2</v>
      </c>
      <c r="K23" t="s">
        <v>250</v>
      </c>
    </row>
    <row r="24" spans="2:19">
      <c r="B24" s="25">
        <v>44197</v>
      </c>
      <c r="C24" s="26">
        <v>197.63180500000001</v>
      </c>
      <c r="D24" s="28">
        <f t="shared" si="0"/>
        <v>-1.9049173340687231E-2</v>
      </c>
      <c r="F24" s="25">
        <v>44197</v>
      </c>
      <c r="G24" s="26">
        <v>13634.599609000001</v>
      </c>
      <c r="H24" s="28">
        <f t="shared" si="1"/>
        <v>-2.4828822643803483E-2</v>
      </c>
      <c r="K24" s="30"/>
      <c r="L24" s="30" t="s">
        <v>255</v>
      </c>
      <c r="M24" s="30" t="s">
        <v>256</v>
      </c>
      <c r="N24" s="30" t="s">
        <v>257</v>
      </c>
      <c r="O24" s="30" t="s">
        <v>258</v>
      </c>
      <c r="P24" s="30" t="s">
        <v>259</v>
      </c>
    </row>
    <row r="25" spans="2:19">
      <c r="B25" s="25">
        <v>44228</v>
      </c>
      <c r="C25" s="26">
        <v>229.37912</v>
      </c>
      <c r="D25" s="28">
        <f t="shared" si="0"/>
        <v>0.16063869375680695</v>
      </c>
      <c r="F25" s="25">
        <v>44228</v>
      </c>
      <c r="G25" s="26">
        <v>14529.150390999999</v>
      </c>
      <c r="H25" s="28">
        <f t="shared" si="1"/>
        <v>6.5608877976109925E-2</v>
      </c>
      <c r="K25" t="s">
        <v>251</v>
      </c>
      <c r="L25">
        <v>1</v>
      </c>
      <c r="M25">
        <v>0.23747267114782561</v>
      </c>
      <c r="N25">
        <v>0.23747267114782561</v>
      </c>
      <c r="O25">
        <v>37.234170096361858</v>
      </c>
      <c r="P25">
        <v>9.2481856441545822E-8</v>
      </c>
    </row>
    <row r="26" spans="2:19">
      <c r="B26" s="25">
        <v>44256</v>
      </c>
      <c r="C26" s="26">
        <v>220.58180200000001</v>
      </c>
      <c r="D26" s="28">
        <f t="shared" si="0"/>
        <v>-3.8352741086459807E-2</v>
      </c>
      <c r="F26" s="25">
        <v>44256</v>
      </c>
      <c r="G26" s="26">
        <v>14690.700194999999</v>
      </c>
      <c r="H26" s="28">
        <f t="shared" si="1"/>
        <v>1.1119012444118725E-2</v>
      </c>
      <c r="K26" t="s">
        <v>252</v>
      </c>
      <c r="L26">
        <v>58</v>
      </c>
      <c r="M26">
        <v>0.36991330519596249</v>
      </c>
      <c r="N26">
        <v>6.3778156068269396E-3</v>
      </c>
    </row>
    <row r="27" spans="2:19" ht="15" thickBot="1">
      <c r="B27" s="25">
        <v>44287</v>
      </c>
      <c r="C27" s="26">
        <v>209.05732699999999</v>
      </c>
      <c r="D27" s="28">
        <f t="shared" si="0"/>
        <v>-5.2245810377412827E-2</v>
      </c>
      <c r="F27" s="25">
        <v>44287</v>
      </c>
      <c r="G27" s="26">
        <v>14631.099609000001</v>
      </c>
      <c r="H27" s="28">
        <f t="shared" si="1"/>
        <v>-4.057028270189833E-3</v>
      </c>
      <c r="K27" s="29" t="s">
        <v>253</v>
      </c>
      <c r="L27" s="29">
        <v>59</v>
      </c>
      <c r="M27" s="29">
        <v>0.6073859763437881</v>
      </c>
      <c r="N27" s="29"/>
      <c r="O27" s="29"/>
      <c r="P27" s="29"/>
    </row>
    <row r="28" spans="2:19" ht="15" thickBot="1">
      <c r="B28" s="25">
        <v>44317</v>
      </c>
      <c r="C28" s="26">
        <v>222.47323600000001</v>
      </c>
      <c r="D28" s="28">
        <f t="shared" si="0"/>
        <v>6.4173349925209955E-2</v>
      </c>
      <c r="F28" s="25">
        <v>44317</v>
      </c>
      <c r="G28" s="26">
        <v>15582.799805000001</v>
      </c>
      <c r="H28" s="28">
        <f t="shared" si="1"/>
        <v>6.504638895456516E-2</v>
      </c>
    </row>
    <row r="29" spans="2:19">
      <c r="B29" s="25">
        <v>44348</v>
      </c>
      <c r="C29" s="26">
        <v>240.69468699999999</v>
      </c>
      <c r="D29" s="28">
        <f t="shared" si="0"/>
        <v>8.1904013838320688E-2</v>
      </c>
      <c r="F29" s="25">
        <v>44348</v>
      </c>
      <c r="G29" s="26">
        <v>15721.5</v>
      </c>
      <c r="H29" s="28">
        <f t="shared" si="1"/>
        <v>8.9008520121971468E-3</v>
      </c>
      <c r="K29" s="30"/>
      <c r="L29" s="30" t="s">
        <v>260</v>
      </c>
      <c r="M29" s="30" t="s">
        <v>248</v>
      </c>
      <c r="N29" s="30" t="s">
        <v>261</v>
      </c>
      <c r="O29" s="30" t="s">
        <v>262</v>
      </c>
      <c r="P29" s="30" t="s">
        <v>263</v>
      </c>
      <c r="Q29" s="30" t="s">
        <v>264</v>
      </c>
      <c r="R29" s="30" t="s">
        <v>265</v>
      </c>
      <c r="S29" s="30" t="s">
        <v>266</v>
      </c>
    </row>
    <row r="30" spans="2:19">
      <c r="B30" s="25">
        <v>44378</v>
      </c>
      <c r="C30" s="26">
        <v>251.31744399999999</v>
      </c>
      <c r="D30" s="28">
        <f t="shared" si="0"/>
        <v>4.4133741099154467E-2</v>
      </c>
      <c r="F30" s="25">
        <v>44378</v>
      </c>
      <c r="G30" s="26">
        <v>15763.049805000001</v>
      </c>
      <c r="H30" s="28">
        <f t="shared" si="1"/>
        <v>2.6428651846197582E-3</v>
      </c>
      <c r="K30" t="s">
        <v>254</v>
      </c>
      <c r="L30">
        <v>2.936632085365223E-2</v>
      </c>
      <c r="M30">
        <v>1.0721892843982325E-2</v>
      </c>
      <c r="N30">
        <v>2.7389119888597016</v>
      </c>
      <c r="O30">
        <v>8.1750067878703578E-3</v>
      </c>
      <c r="P30">
        <v>7.9041204847211284E-3</v>
      </c>
      <c r="Q30">
        <v>5.0828521222583328E-2</v>
      </c>
      <c r="R30">
        <v>7.9041204847211284E-3</v>
      </c>
      <c r="S30">
        <v>5.0828521222583328E-2</v>
      </c>
    </row>
    <row r="31" spans="2:19" ht="15" thickBot="1">
      <c r="B31" s="25">
        <v>44409</v>
      </c>
      <c r="C31" s="26">
        <v>279.40841699999999</v>
      </c>
      <c r="D31" s="28">
        <f t="shared" si="0"/>
        <v>0.11177486350688803</v>
      </c>
      <c r="F31" s="25">
        <v>44409</v>
      </c>
      <c r="G31" s="26">
        <v>17132.199218999998</v>
      </c>
      <c r="H31" s="28">
        <f t="shared" si="1"/>
        <v>8.6858154414110045E-2</v>
      </c>
      <c r="K31" s="29" t="s">
        <v>267</v>
      </c>
      <c r="L31" s="29">
        <v>1.1902556670474196</v>
      </c>
      <c r="M31" s="29">
        <v>0.19506053844836588</v>
      </c>
      <c r="N31" s="29">
        <v>6.1019808338245207</v>
      </c>
      <c r="O31" s="29">
        <v>9.2481856441547861E-8</v>
      </c>
      <c r="P31" s="29">
        <v>0.79979957676854174</v>
      </c>
      <c r="Q31" s="29">
        <v>1.5807117573262974</v>
      </c>
      <c r="R31" s="29">
        <v>0.79979957676854174</v>
      </c>
      <c r="S31" s="29">
        <v>1.5807117573262974</v>
      </c>
    </row>
    <row r="32" spans="2:19">
      <c r="B32" s="25">
        <v>44440</v>
      </c>
      <c r="C32" s="26">
        <v>297.09997600000003</v>
      </c>
      <c r="D32" s="28">
        <f t="shared" si="0"/>
        <v>6.3317917154944059E-2</v>
      </c>
      <c r="F32" s="25">
        <v>44440</v>
      </c>
      <c r="G32" s="26">
        <v>17618.150390999999</v>
      </c>
      <c r="H32" s="28">
        <f t="shared" si="1"/>
        <v>2.8364786434485811E-2</v>
      </c>
    </row>
    <row r="33" spans="2:8">
      <c r="B33" s="25">
        <v>44470</v>
      </c>
      <c r="C33" s="26">
        <v>281.12948599999999</v>
      </c>
      <c r="D33" s="28">
        <f t="shared" si="0"/>
        <v>-5.3754598754999661E-2</v>
      </c>
      <c r="F33" s="25">
        <v>44470</v>
      </c>
      <c r="G33" s="26">
        <v>17671.650390999999</v>
      </c>
      <c r="H33" s="28">
        <f t="shared" si="1"/>
        <v>3.0366411236522062E-3</v>
      </c>
    </row>
    <row r="34" spans="2:8">
      <c r="B34" s="25">
        <v>44501</v>
      </c>
      <c r="C34" s="26">
        <v>295.06436200000002</v>
      </c>
      <c r="D34" s="28">
        <f t="shared" si="0"/>
        <v>4.9567465150204937E-2</v>
      </c>
      <c r="F34" s="25">
        <v>44501</v>
      </c>
      <c r="G34" s="26">
        <v>16983.199218999998</v>
      </c>
      <c r="H34" s="28">
        <f t="shared" si="1"/>
        <v>-3.8957944321409976E-2</v>
      </c>
    </row>
    <row r="35" spans="2:8">
      <c r="B35" s="25">
        <v>44531</v>
      </c>
      <c r="C35" s="26">
        <v>294.02175899999997</v>
      </c>
      <c r="D35" s="28">
        <f t="shared" si="0"/>
        <v>-3.5334765368920662E-3</v>
      </c>
      <c r="F35" s="25">
        <v>44531</v>
      </c>
      <c r="G35" s="26">
        <v>17354.050781000002</v>
      </c>
      <c r="H35" s="28">
        <f t="shared" si="1"/>
        <v>2.1836378247575006E-2</v>
      </c>
    </row>
    <row r="36" spans="2:8">
      <c r="B36" s="25">
        <v>44562</v>
      </c>
      <c r="C36" s="26">
        <v>299.499664</v>
      </c>
      <c r="D36" s="28">
        <f t="shared" si="0"/>
        <v>1.8630951051483269E-2</v>
      </c>
      <c r="F36" s="25">
        <v>44562</v>
      </c>
      <c r="G36" s="26">
        <v>17339.849609000001</v>
      </c>
      <c r="H36" s="28">
        <f t="shared" si="1"/>
        <v>-8.183202976188575E-4</v>
      </c>
    </row>
    <row r="37" spans="2:8">
      <c r="B37" s="25">
        <v>44593</v>
      </c>
      <c r="C37" s="26">
        <v>312.95455900000002</v>
      </c>
      <c r="D37" s="28">
        <f t="shared" si="0"/>
        <v>4.492457460653454E-2</v>
      </c>
      <c r="F37" s="25">
        <v>44593</v>
      </c>
      <c r="G37" s="26">
        <v>16793.900390999999</v>
      </c>
      <c r="H37" s="28">
        <f t="shared" si="1"/>
        <v>-3.1485233742548413E-2</v>
      </c>
    </row>
    <row r="38" spans="2:8">
      <c r="B38" s="25">
        <v>44621</v>
      </c>
      <c r="C38" s="26">
        <v>311.56436200000002</v>
      </c>
      <c r="D38" s="28">
        <f t="shared" si="0"/>
        <v>-4.4421688709126439E-3</v>
      </c>
      <c r="F38" s="25">
        <v>44621</v>
      </c>
      <c r="G38" s="26">
        <v>17464.75</v>
      </c>
      <c r="H38" s="28">
        <f t="shared" si="1"/>
        <v>3.9946027627954406E-2</v>
      </c>
    </row>
    <row r="39" spans="2:8">
      <c r="B39" s="25">
        <v>44652</v>
      </c>
      <c r="C39" s="26">
        <v>358.64819299999999</v>
      </c>
      <c r="D39" s="28">
        <f t="shared" si="0"/>
        <v>0.15112072092507156</v>
      </c>
      <c r="F39" s="25">
        <v>44652</v>
      </c>
      <c r="G39" s="26">
        <v>17102.550781000002</v>
      </c>
      <c r="H39" s="28">
        <f t="shared" si="1"/>
        <v>-2.0738872242660134E-2</v>
      </c>
    </row>
    <row r="40" spans="2:8">
      <c r="B40" s="25">
        <v>44682</v>
      </c>
      <c r="C40" s="26">
        <v>349.69485500000002</v>
      </c>
      <c r="D40" s="28">
        <f t="shared" si="0"/>
        <v>-2.4964124104760121E-2</v>
      </c>
      <c r="F40" s="25">
        <v>44682</v>
      </c>
      <c r="G40" s="26">
        <v>16584.550781000002</v>
      </c>
      <c r="H40" s="28">
        <f t="shared" si="1"/>
        <v>-3.0287879663861039E-2</v>
      </c>
    </row>
    <row r="41" spans="2:8">
      <c r="B41" s="25">
        <v>44713</v>
      </c>
      <c r="C41" s="26">
        <v>392.50058000000001</v>
      </c>
      <c r="D41" s="28">
        <f t="shared" si="0"/>
        <v>0.12240879266010363</v>
      </c>
      <c r="F41" s="25">
        <v>44713</v>
      </c>
      <c r="G41" s="26">
        <v>15780.25</v>
      </c>
      <c r="H41" s="28">
        <f t="shared" si="1"/>
        <v>-4.8496989253483114E-2</v>
      </c>
    </row>
    <row r="42" spans="2:8">
      <c r="B42" s="25">
        <v>44743</v>
      </c>
      <c r="C42" s="26">
        <v>438.252228</v>
      </c>
      <c r="D42" s="28">
        <f t="shared" si="0"/>
        <v>0.1165645360320231</v>
      </c>
      <c r="F42" s="25">
        <v>44743</v>
      </c>
      <c r="G42" s="26">
        <v>17158.25</v>
      </c>
      <c r="H42" s="28">
        <f t="shared" si="1"/>
        <v>8.7324345305048956E-2</v>
      </c>
    </row>
    <row r="43" spans="2:8">
      <c r="B43" s="25">
        <v>44774</v>
      </c>
      <c r="C43" s="26">
        <v>513.44580099999996</v>
      </c>
      <c r="D43" s="28">
        <f t="shared" si="0"/>
        <v>0.17157601991700533</v>
      </c>
      <c r="F43" s="25">
        <v>44774</v>
      </c>
      <c r="G43" s="26">
        <v>17759.300781000002</v>
      </c>
      <c r="H43" s="28">
        <f t="shared" si="1"/>
        <v>3.5029841679658613E-2</v>
      </c>
    </row>
    <row r="44" spans="2:8">
      <c r="B44" s="25">
        <v>44805</v>
      </c>
      <c r="C44" s="26">
        <v>519.73083499999996</v>
      </c>
      <c r="D44" s="28">
        <f t="shared" si="0"/>
        <v>1.2240890835525597E-2</v>
      </c>
      <c r="F44" s="25">
        <v>44805</v>
      </c>
      <c r="G44" s="26">
        <v>17094.349609000001</v>
      </c>
      <c r="H44" s="28">
        <f t="shared" si="1"/>
        <v>-3.7442418493829788E-2</v>
      </c>
    </row>
    <row r="45" spans="2:8">
      <c r="B45" s="25">
        <v>44835</v>
      </c>
      <c r="C45" s="26">
        <v>522.14495799999997</v>
      </c>
      <c r="D45" s="28">
        <f t="shared" si="0"/>
        <v>4.6449485722739325E-3</v>
      </c>
      <c r="F45" s="25">
        <v>44835</v>
      </c>
      <c r="G45" s="26">
        <v>18012.199218999998</v>
      </c>
      <c r="H45" s="28">
        <f t="shared" si="1"/>
        <v>5.3693157738903263E-2</v>
      </c>
    </row>
    <row r="46" spans="2:8">
      <c r="B46" s="25">
        <v>44866</v>
      </c>
      <c r="C46" s="26">
        <v>622.03955099999996</v>
      </c>
      <c r="D46" s="28">
        <f t="shared" si="0"/>
        <v>0.19131582421600246</v>
      </c>
      <c r="F46" s="25">
        <v>44866</v>
      </c>
      <c r="G46" s="26">
        <v>18758.349609000001</v>
      </c>
      <c r="H46" s="28">
        <f t="shared" si="1"/>
        <v>4.1424724484111497E-2</v>
      </c>
    </row>
    <row r="47" spans="2:8">
      <c r="B47" s="25">
        <v>44896</v>
      </c>
      <c r="C47" s="26">
        <v>658.27441399999998</v>
      </c>
      <c r="D47" s="28">
        <f t="shared" si="0"/>
        <v>5.8251702712067699E-2</v>
      </c>
      <c r="F47" s="25">
        <v>44896</v>
      </c>
      <c r="G47" s="26">
        <v>18105.300781000002</v>
      </c>
      <c r="H47" s="28">
        <f t="shared" si="1"/>
        <v>-3.4813767821379904E-2</v>
      </c>
    </row>
    <row r="48" spans="2:8">
      <c r="B48" s="25">
        <v>44927</v>
      </c>
      <c r="C48" s="26">
        <v>570.52441399999998</v>
      </c>
      <c r="D48" s="28">
        <f t="shared" si="0"/>
        <v>-0.13330306956150362</v>
      </c>
      <c r="F48" s="25">
        <v>44927</v>
      </c>
      <c r="G48" s="26">
        <v>17662.150390999999</v>
      </c>
      <c r="H48" s="28">
        <f t="shared" si="1"/>
        <v>-2.4476278818027275E-2</v>
      </c>
    </row>
    <row r="49" spans="2:8">
      <c r="B49" s="25">
        <v>44958</v>
      </c>
      <c r="C49" s="26">
        <v>647.42382799999996</v>
      </c>
      <c r="D49" s="28">
        <f t="shared" si="0"/>
        <v>0.13478724505556383</v>
      </c>
      <c r="F49" s="25">
        <v>44958</v>
      </c>
      <c r="G49" s="26">
        <v>17303.949218999998</v>
      </c>
      <c r="H49" s="28">
        <f t="shared" si="1"/>
        <v>-2.0280722566065723E-2</v>
      </c>
    </row>
    <row r="50" spans="2:8">
      <c r="B50" s="25">
        <v>44986</v>
      </c>
      <c r="C50" s="26">
        <v>690.35314900000003</v>
      </c>
      <c r="D50" s="28">
        <f t="shared" si="0"/>
        <v>6.6307910125297465E-2</v>
      </c>
      <c r="F50" s="25">
        <v>44986</v>
      </c>
      <c r="G50" s="26">
        <v>17359.75</v>
      </c>
      <c r="H50" s="28">
        <f t="shared" si="1"/>
        <v>3.2247425309555044E-3</v>
      </c>
    </row>
    <row r="51" spans="2:8">
      <c r="B51" s="25">
        <v>45017</v>
      </c>
      <c r="C51" s="26">
        <v>720.42419400000006</v>
      </c>
      <c r="D51" s="28">
        <f t="shared" si="0"/>
        <v>4.3558930735028811E-2</v>
      </c>
      <c r="F51" s="25">
        <v>45017</v>
      </c>
      <c r="G51" s="26">
        <v>18065</v>
      </c>
      <c r="H51" s="28">
        <f t="shared" si="1"/>
        <v>4.0625585045867663E-2</v>
      </c>
    </row>
    <row r="52" spans="2:8">
      <c r="B52" s="25">
        <v>45047</v>
      </c>
      <c r="C52" s="26">
        <v>845.26171899999997</v>
      </c>
      <c r="D52" s="28">
        <f t="shared" si="0"/>
        <v>0.17328336005328526</v>
      </c>
      <c r="F52" s="25">
        <v>45047</v>
      </c>
      <c r="G52" s="26">
        <v>18534.400390999999</v>
      </c>
      <c r="H52" s="28">
        <f t="shared" si="1"/>
        <v>2.5983968502629295E-2</v>
      </c>
    </row>
    <row r="53" spans="2:8">
      <c r="B53" s="25">
        <v>45078</v>
      </c>
      <c r="C53" s="26">
        <v>800.690247</v>
      </c>
      <c r="D53" s="28">
        <f t="shared" si="0"/>
        <v>-5.2730971955917916E-2</v>
      </c>
      <c r="F53" s="25">
        <v>45078</v>
      </c>
      <c r="G53" s="26">
        <v>19189.050781000002</v>
      </c>
      <c r="H53" s="28">
        <f t="shared" si="1"/>
        <v>3.5320829171138879E-2</v>
      </c>
    </row>
    <row r="54" spans="2:8">
      <c r="B54" s="25">
        <v>45108</v>
      </c>
      <c r="C54" s="26">
        <v>802.53594999999996</v>
      </c>
      <c r="D54" s="28">
        <f t="shared" si="0"/>
        <v>2.3051398551630076E-3</v>
      </c>
      <c r="F54" s="25">
        <v>45108</v>
      </c>
      <c r="G54" s="26">
        <v>19753.800781000002</v>
      </c>
      <c r="H54" s="28">
        <f t="shared" si="1"/>
        <v>2.9430846082245221E-2</v>
      </c>
    </row>
    <row r="55" spans="2:8">
      <c r="B55" s="25">
        <v>45139</v>
      </c>
      <c r="C55" s="26">
        <v>897.41558799999996</v>
      </c>
      <c r="D55" s="28">
        <f t="shared" si="0"/>
        <v>0.11822478232906586</v>
      </c>
      <c r="F55" s="25">
        <v>45139</v>
      </c>
      <c r="G55" s="26">
        <v>19253.800781000002</v>
      </c>
      <c r="H55" s="28">
        <f t="shared" si="1"/>
        <v>-2.5311584618233018E-2</v>
      </c>
    </row>
    <row r="56" spans="2:8">
      <c r="B56" s="25">
        <v>45170</v>
      </c>
      <c r="C56" s="26">
        <v>944.89904799999999</v>
      </c>
      <c r="D56" s="28">
        <f t="shared" si="0"/>
        <v>5.2911338553660148E-2</v>
      </c>
      <c r="F56" s="25">
        <v>45170</v>
      </c>
      <c r="G56" s="26">
        <v>19638.300781000002</v>
      </c>
      <c r="H56" s="28">
        <f t="shared" si="1"/>
        <v>1.9970083017553097E-2</v>
      </c>
    </row>
    <row r="57" spans="2:8">
      <c r="B57" s="25">
        <v>45200</v>
      </c>
      <c r="C57" s="26">
        <v>908.03033400000004</v>
      </c>
      <c r="D57" s="28">
        <f t="shared" si="0"/>
        <v>-3.9018680437912678E-2</v>
      </c>
      <c r="F57" s="25">
        <v>45200</v>
      </c>
      <c r="G57" s="26">
        <v>19079.599609000001</v>
      </c>
      <c r="H57" s="28">
        <f t="shared" si="1"/>
        <v>-2.8449567924967445E-2</v>
      </c>
    </row>
    <row r="58" spans="2:8">
      <c r="B58" s="25">
        <v>45231</v>
      </c>
      <c r="C58" s="26">
        <v>1104.0642089999999</v>
      </c>
      <c r="D58" s="28">
        <f t="shared" si="0"/>
        <v>0.21588912579213448</v>
      </c>
      <c r="F58" s="25">
        <v>45231</v>
      </c>
      <c r="G58" s="26">
        <v>20133.150390999999</v>
      </c>
      <c r="H58" s="28">
        <f t="shared" si="1"/>
        <v>5.5218704982835654E-2</v>
      </c>
    </row>
    <row r="59" spans="2:8">
      <c r="B59" s="25">
        <v>45261</v>
      </c>
      <c r="C59" s="26">
        <v>1235.8524170000001</v>
      </c>
      <c r="D59" s="28">
        <f t="shared" si="0"/>
        <v>0.11936643442084471</v>
      </c>
      <c r="F59" s="25">
        <v>45261</v>
      </c>
      <c r="G59" s="26">
        <v>21731.400390999999</v>
      </c>
      <c r="H59" s="28">
        <f t="shared" si="1"/>
        <v>7.9383999471560829E-2</v>
      </c>
    </row>
    <row r="60" spans="2:8">
      <c r="B60" s="25">
        <v>45292</v>
      </c>
      <c r="C60" s="26">
        <v>1279.3156739999999</v>
      </c>
      <c r="D60" s="28">
        <f t="shared" si="0"/>
        <v>3.5168646678302995E-2</v>
      </c>
      <c r="F60" s="25">
        <v>45292</v>
      </c>
      <c r="G60" s="26">
        <v>21725.699218999998</v>
      </c>
      <c r="H60" s="28">
        <f t="shared" si="1"/>
        <v>-2.6234719794504535E-4</v>
      </c>
    </row>
    <row r="61" spans="2:8">
      <c r="B61" s="25">
        <v>45323</v>
      </c>
      <c r="C61" s="26">
        <v>1407.307129</v>
      </c>
      <c r="D61" s="28">
        <f t="shared" si="0"/>
        <v>0.1000468122146998</v>
      </c>
      <c r="F61" s="25">
        <v>45323</v>
      </c>
      <c r="G61" s="26">
        <v>21982.800781000002</v>
      </c>
      <c r="H61" s="28">
        <f t="shared" si="1"/>
        <v>1.1833983312037999E-2</v>
      </c>
    </row>
    <row r="62" spans="2:8">
      <c r="B62" s="25">
        <v>45352</v>
      </c>
      <c r="C62" s="26">
        <v>1397.4155270000001</v>
      </c>
      <c r="D62" s="28">
        <f t="shared" si="0"/>
        <v>-7.0287443274934525E-3</v>
      </c>
      <c r="F62" s="25">
        <v>45352</v>
      </c>
      <c r="G62" s="26">
        <v>22326.900390999999</v>
      </c>
      <c r="H62" s="28">
        <f t="shared" si="1"/>
        <v>1.5653128708576824E-2</v>
      </c>
    </row>
    <row r="63" spans="2:8">
      <c r="B63" s="25">
        <v>45383</v>
      </c>
      <c r="C63" s="26">
        <v>1478.1970209999999</v>
      </c>
      <c r="D63" s="28">
        <f t="shared" si="0"/>
        <v>5.7807783325138251E-2</v>
      </c>
      <c r="F63" s="25">
        <v>45383</v>
      </c>
      <c r="G63" s="26">
        <v>22604.849609000001</v>
      </c>
      <c r="H63" s="28">
        <f t="shared" si="1"/>
        <v>1.2449073231501684E-2</v>
      </c>
    </row>
    <row r="64" spans="2:8">
      <c r="B64" s="25">
        <v>45413</v>
      </c>
      <c r="C64" s="26">
        <v>1426.8000489999999</v>
      </c>
      <c r="D64" s="28">
        <f t="shared" si="0"/>
        <v>-3.4770041658743089E-2</v>
      </c>
      <c r="F64" s="25">
        <v>45413</v>
      </c>
      <c r="G64" s="26">
        <v>22530.699218999998</v>
      </c>
      <c r="H64" s="28">
        <f t="shared" si="1"/>
        <v>-3.2802868093614324E-3</v>
      </c>
    </row>
    <row r="65" spans="2:8">
      <c r="B65" s="25">
        <v>45444</v>
      </c>
      <c r="C65" s="26">
        <v>1629.5</v>
      </c>
      <c r="D65" s="28">
        <f t="shared" si="0"/>
        <v>0.14206612281942821</v>
      </c>
      <c r="F65" s="25">
        <v>45444</v>
      </c>
      <c r="G65" s="26">
        <v>24010.599609000001</v>
      </c>
      <c r="H65" s="28">
        <f t="shared" si="1"/>
        <v>6.5683731144571489E-2</v>
      </c>
    </row>
    <row r="66" spans="2:8">
      <c r="B66" s="25">
        <v>45474</v>
      </c>
      <c r="C66" s="26">
        <v>1676.650024</v>
      </c>
      <c r="D66" s="28">
        <f t="shared" si="0"/>
        <v>2.8935270942006763E-2</v>
      </c>
      <c r="F66" s="25">
        <v>45474</v>
      </c>
      <c r="G66" s="26">
        <v>24834.849609000001</v>
      </c>
      <c r="H66" s="28">
        <f t="shared" si="1"/>
        <v>3.4328588765898393E-2</v>
      </c>
    </row>
    <row r="67" spans="2:8">
      <c r="B67" s="25">
        <v>45502</v>
      </c>
      <c r="C67" s="26">
        <v>1685.3000489999999</v>
      </c>
      <c r="D67" s="28">
        <f t="shared" si="0"/>
        <v>5.1591118457525731E-3</v>
      </c>
      <c r="F67" s="25">
        <v>45502</v>
      </c>
      <c r="G67" s="26">
        <v>24836.099609000001</v>
      </c>
      <c r="H67" s="28">
        <f t="shared" si="1"/>
        <v>5.0332497264049536E-5</v>
      </c>
    </row>
  </sheetData>
  <mergeCells count="2">
    <mergeCell ref="B5:D5"/>
    <mergeCell ref="F5:H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7917F-4C7A-4FF7-A1DC-23A78B8FC71B}">
  <dimension ref="B5:S67"/>
  <sheetViews>
    <sheetView showGridLines="0" topLeftCell="A2" workbookViewId="0">
      <selection activeCell="K5" sqref="K5:M8"/>
    </sheetView>
  </sheetViews>
  <sheetFormatPr defaultRowHeight="14.5"/>
  <cols>
    <col min="2" max="2" width="12.08984375" customWidth="1"/>
    <col min="3" max="3" width="12.36328125" customWidth="1"/>
    <col min="4" max="4" width="12.90625" customWidth="1"/>
    <col min="6" max="6" width="10.36328125" bestFit="1" customWidth="1"/>
  </cols>
  <sheetData>
    <row r="5" spans="2:13">
      <c r="B5" s="134" t="s">
        <v>277</v>
      </c>
      <c r="C5" s="134"/>
      <c r="D5" s="134"/>
      <c r="F5" s="134" t="s">
        <v>240</v>
      </c>
      <c r="G5" s="134"/>
      <c r="H5" s="134"/>
      <c r="K5" s="32" t="s">
        <v>241</v>
      </c>
      <c r="L5" s="27"/>
      <c r="M5" s="27"/>
    </row>
    <row r="6" spans="2:13" ht="16.5">
      <c r="B6" s="2" t="s">
        <v>236</v>
      </c>
      <c r="C6" s="2" t="s">
        <v>237</v>
      </c>
      <c r="D6" s="2" t="s">
        <v>238</v>
      </c>
      <c r="F6" s="2" t="s">
        <v>236</v>
      </c>
      <c r="G6" s="2" t="s">
        <v>237</v>
      </c>
      <c r="H6" s="2" t="s">
        <v>238</v>
      </c>
      <c r="K6" s="27" t="s">
        <v>242</v>
      </c>
      <c r="L6" s="27"/>
      <c r="M6" s="27">
        <f>SLOPE(D8:D67,H8:H67)</f>
        <v>0.53001468544504171</v>
      </c>
    </row>
    <row r="7" spans="2:13" ht="16.5">
      <c r="B7" s="25">
        <v>43678</v>
      </c>
      <c r="C7" s="26">
        <v>596.05841099999998</v>
      </c>
      <c r="D7" s="27"/>
      <c r="F7" s="25">
        <v>43678</v>
      </c>
      <c r="G7" s="26">
        <v>11023.25</v>
      </c>
      <c r="H7" s="27"/>
      <c r="K7" s="27" t="s">
        <v>268</v>
      </c>
      <c r="L7" s="27"/>
      <c r="M7" s="27">
        <f>L31</f>
        <v>0.53001468544504171</v>
      </c>
    </row>
    <row r="8" spans="2:13" ht="15" thickBot="1">
      <c r="B8" s="25">
        <v>43709</v>
      </c>
      <c r="C8" s="26">
        <v>674.87573199999997</v>
      </c>
      <c r="D8" s="28">
        <f>(C8/C7)-1</f>
        <v>0.13223086789056326</v>
      </c>
      <c r="F8" s="25">
        <v>43709</v>
      </c>
      <c r="G8" s="26">
        <v>11474.450194999999</v>
      </c>
      <c r="H8" s="28">
        <f>(G8/G7)-1</f>
        <v>4.0931684847935079E-2</v>
      </c>
      <c r="K8" s="33" t="s">
        <v>269</v>
      </c>
      <c r="L8" s="34"/>
      <c r="M8" s="33">
        <f>0.33+0.67*M7</f>
        <v>0.68510983924817803</v>
      </c>
    </row>
    <row r="9" spans="2:13">
      <c r="B9" s="25">
        <v>43739</v>
      </c>
      <c r="C9" s="26">
        <v>726.96679700000004</v>
      </c>
      <c r="D9" s="28">
        <f t="shared" ref="D9:D67" si="0">(C9/C8)-1</f>
        <v>7.7186158177043662E-2</v>
      </c>
      <c r="F9" s="25">
        <v>43739</v>
      </c>
      <c r="G9" s="26">
        <v>11877.450194999999</v>
      </c>
      <c r="H9" s="28">
        <f t="shared" ref="H9:H67" si="1">(G9/G8)-1</f>
        <v>3.5121508495074449E-2</v>
      </c>
    </row>
    <row r="10" spans="2:13">
      <c r="B10" s="25">
        <v>43770</v>
      </c>
      <c r="C10" s="26">
        <v>711.89428699999996</v>
      </c>
      <c r="D10" s="28">
        <f t="shared" si="0"/>
        <v>-2.0733422849847249E-2</v>
      </c>
      <c r="F10" s="25">
        <v>43770</v>
      </c>
      <c r="G10" s="26">
        <v>12056.049805000001</v>
      </c>
      <c r="H10" s="28">
        <f t="shared" si="1"/>
        <v>1.5036864568389152E-2</v>
      </c>
    </row>
    <row r="11" spans="2:13">
      <c r="B11" s="25">
        <v>43800</v>
      </c>
      <c r="C11" s="26">
        <v>674.02380400000004</v>
      </c>
      <c r="D11" s="28">
        <f t="shared" si="0"/>
        <v>-5.3196778920070131E-2</v>
      </c>
      <c r="F11" s="25">
        <v>43800</v>
      </c>
      <c r="G11" s="26">
        <v>12168.450194999999</v>
      </c>
      <c r="H11" s="28">
        <f t="shared" si="1"/>
        <v>9.3231524270398491E-3</v>
      </c>
    </row>
    <row r="12" spans="2:13">
      <c r="B12" s="25">
        <v>43831</v>
      </c>
      <c r="C12" s="26">
        <v>662.30682400000001</v>
      </c>
      <c r="D12" s="28">
        <f t="shared" si="0"/>
        <v>-1.7383629376982679E-2</v>
      </c>
      <c r="F12" s="25">
        <v>43831</v>
      </c>
      <c r="G12" s="26">
        <v>11962.099609000001</v>
      </c>
      <c r="H12" s="28">
        <f t="shared" si="1"/>
        <v>-1.6957836264538284E-2</v>
      </c>
    </row>
    <row r="13" spans="2:13">
      <c r="B13" s="25">
        <v>43862</v>
      </c>
      <c r="C13" s="26">
        <v>551.88122599999997</v>
      </c>
      <c r="D13" s="28">
        <f t="shared" si="0"/>
        <v>-0.16672876376704826</v>
      </c>
      <c r="F13" s="25">
        <v>43862</v>
      </c>
      <c r="G13" s="26">
        <v>11201.75</v>
      </c>
      <c r="H13" s="28">
        <f t="shared" si="1"/>
        <v>-6.35632233348008E-2</v>
      </c>
    </row>
    <row r="14" spans="2:13">
      <c r="B14" s="25">
        <v>43891</v>
      </c>
      <c r="C14" s="26">
        <v>514.412781</v>
      </c>
      <c r="D14" s="28">
        <f t="shared" si="0"/>
        <v>-6.7892226143601353E-2</v>
      </c>
      <c r="F14" s="25">
        <v>43891</v>
      </c>
      <c r="G14" s="26">
        <v>8597.75</v>
      </c>
      <c r="H14" s="28">
        <f t="shared" si="1"/>
        <v>-0.23246367755038277</v>
      </c>
      <c r="K14" t="s">
        <v>243</v>
      </c>
    </row>
    <row r="15" spans="2:13" ht="15" thickBot="1">
      <c r="B15" s="25">
        <v>43922</v>
      </c>
      <c r="C15" s="26">
        <v>536.48657200000002</v>
      </c>
      <c r="D15" s="28">
        <f t="shared" si="0"/>
        <v>4.2910658162671256E-2</v>
      </c>
      <c r="F15" s="25">
        <v>43922</v>
      </c>
      <c r="G15" s="26">
        <v>9859.9003909999992</v>
      </c>
      <c r="H15" s="28">
        <f t="shared" si="1"/>
        <v>0.14680008036986414</v>
      </c>
    </row>
    <row r="16" spans="2:13">
      <c r="B16" s="25">
        <v>43952</v>
      </c>
      <c r="C16" s="26">
        <v>625.96679700000004</v>
      </c>
      <c r="D16" s="28">
        <f t="shared" si="0"/>
        <v>0.16678930968658068</v>
      </c>
      <c r="F16" s="25">
        <v>43952</v>
      </c>
      <c r="G16" s="26">
        <v>9580.2998050000006</v>
      </c>
      <c r="H16" s="28">
        <f t="shared" si="1"/>
        <v>-2.8357343878972152E-2</v>
      </c>
      <c r="K16" s="31" t="s">
        <v>244</v>
      </c>
      <c r="L16" s="31"/>
    </row>
    <row r="17" spans="2:19">
      <c r="B17" s="25">
        <v>43983</v>
      </c>
      <c r="C17" s="26">
        <v>682.26238999999998</v>
      </c>
      <c r="D17" s="28">
        <f t="shared" si="0"/>
        <v>8.9933832385042489E-2</v>
      </c>
      <c r="F17" s="25">
        <v>43983</v>
      </c>
      <c r="G17" s="26">
        <v>10302.099609000001</v>
      </c>
      <c r="H17" s="28">
        <f t="shared" si="1"/>
        <v>7.5342089359592856E-2</v>
      </c>
      <c r="K17" t="s">
        <v>245</v>
      </c>
      <c r="L17">
        <v>0.36056864894196811</v>
      </c>
    </row>
    <row r="18" spans="2:19">
      <c r="B18" s="25">
        <v>44013</v>
      </c>
      <c r="C18" s="26">
        <v>683.29937700000005</v>
      </c>
      <c r="D18" s="28">
        <f t="shared" si="0"/>
        <v>1.5199240280561188E-3</v>
      </c>
      <c r="F18" s="25">
        <v>44013</v>
      </c>
      <c r="G18" s="26">
        <v>11073.450194999999</v>
      </c>
      <c r="H18" s="28">
        <f t="shared" si="1"/>
        <v>7.4873143851777568E-2</v>
      </c>
      <c r="K18" t="s">
        <v>246</v>
      </c>
      <c r="L18">
        <v>0.13000975059983624</v>
      </c>
    </row>
    <row r="19" spans="2:19">
      <c r="B19" s="25">
        <v>44044</v>
      </c>
      <c r="C19" s="26">
        <v>643.25048800000002</v>
      </c>
      <c r="D19" s="28">
        <f t="shared" si="0"/>
        <v>-5.86110427552754E-2</v>
      </c>
      <c r="F19" s="25">
        <v>44044</v>
      </c>
      <c r="G19" s="26">
        <v>11387.5</v>
      </c>
      <c r="H19" s="28">
        <f t="shared" si="1"/>
        <v>2.8360610240682149E-2</v>
      </c>
      <c r="K19" t="s">
        <v>247</v>
      </c>
      <c r="L19">
        <v>0.11500991871362652</v>
      </c>
    </row>
    <row r="20" spans="2:19">
      <c r="B20" s="25">
        <v>44075</v>
      </c>
      <c r="C20" s="26">
        <v>715.99029499999995</v>
      </c>
      <c r="D20" s="28">
        <f t="shared" si="0"/>
        <v>0.11308161961316676</v>
      </c>
      <c r="F20" s="25">
        <v>44075</v>
      </c>
      <c r="G20" s="26">
        <v>11247.549805000001</v>
      </c>
      <c r="H20" s="28">
        <f t="shared" si="1"/>
        <v>-1.2289808562019666E-2</v>
      </c>
      <c r="K20" t="s">
        <v>248</v>
      </c>
      <c r="L20">
        <v>7.3707163262637432E-2</v>
      </c>
    </row>
    <row r="21" spans="2:19" ht="15" thickBot="1">
      <c r="B21" s="25">
        <v>44105</v>
      </c>
      <c r="C21" s="26">
        <v>656.58367899999996</v>
      </c>
      <c r="D21" s="28">
        <f t="shared" si="0"/>
        <v>-8.2971258709589102E-2</v>
      </c>
      <c r="F21" s="25">
        <v>44105</v>
      </c>
      <c r="G21" s="26">
        <v>11642.400390999999</v>
      </c>
      <c r="H21" s="28">
        <f t="shared" si="1"/>
        <v>3.5105475667640107E-2</v>
      </c>
      <c r="K21" s="29" t="s">
        <v>249</v>
      </c>
      <c r="L21" s="29">
        <v>60</v>
      </c>
    </row>
    <row r="22" spans="2:19">
      <c r="B22" s="25">
        <v>44136</v>
      </c>
      <c r="C22" s="26">
        <v>691.10174600000005</v>
      </c>
      <c r="D22" s="28">
        <f t="shared" si="0"/>
        <v>5.2572228192714565E-2</v>
      </c>
      <c r="F22" s="25">
        <v>44136</v>
      </c>
      <c r="G22" s="26">
        <v>12968.950194999999</v>
      </c>
      <c r="H22" s="28">
        <f t="shared" si="1"/>
        <v>0.1139412629225045</v>
      </c>
    </row>
    <row r="23" spans="2:19" ht="15" thickBot="1">
      <c r="B23" s="25">
        <v>44166</v>
      </c>
      <c r="C23" s="26">
        <v>731.00244099999998</v>
      </c>
      <c r="D23" s="28">
        <f t="shared" si="0"/>
        <v>5.7734906952470633E-2</v>
      </c>
      <c r="F23" s="25">
        <v>44166</v>
      </c>
      <c r="G23" s="26">
        <v>13981.75</v>
      </c>
      <c r="H23" s="28">
        <f t="shared" si="1"/>
        <v>7.8094201132060226E-2</v>
      </c>
      <c r="K23" t="s">
        <v>250</v>
      </c>
    </row>
    <row r="24" spans="2:19">
      <c r="B24" s="25">
        <v>44197</v>
      </c>
      <c r="C24" s="26">
        <v>735.44683799999996</v>
      </c>
      <c r="D24" s="28">
        <f t="shared" si="0"/>
        <v>6.0798661546466182E-3</v>
      </c>
      <c r="F24" s="25">
        <v>44197</v>
      </c>
      <c r="G24" s="26">
        <v>13634.599609000001</v>
      </c>
      <c r="H24" s="28">
        <f t="shared" si="1"/>
        <v>-2.4828822643803483E-2</v>
      </c>
      <c r="K24" s="30"/>
      <c r="L24" s="30" t="s">
        <v>255</v>
      </c>
      <c r="M24" s="30" t="s">
        <v>256</v>
      </c>
      <c r="N24" s="30" t="s">
        <v>257</v>
      </c>
      <c r="O24" s="30" t="s">
        <v>258</v>
      </c>
      <c r="P24" s="30" t="s">
        <v>259</v>
      </c>
    </row>
    <row r="25" spans="2:19">
      <c r="B25" s="25">
        <v>44228</v>
      </c>
      <c r="C25" s="26">
        <v>677.91674799999998</v>
      </c>
      <c r="D25" s="28">
        <f t="shared" si="0"/>
        <v>-7.8224675160001089E-2</v>
      </c>
      <c r="F25" s="25">
        <v>44228</v>
      </c>
      <c r="G25" s="26">
        <v>14529.150390999999</v>
      </c>
      <c r="H25" s="28">
        <f t="shared" si="1"/>
        <v>6.5608877976109925E-2</v>
      </c>
      <c r="K25" t="s">
        <v>251</v>
      </c>
      <c r="L25">
        <v>1</v>
      </c>
      <c r="M25">
        <v>4.7087857183923332E-2</v>
      </c>
      <c r="N25">
        <v>4.7087857183923332E-2</v>
      </c>
      <c r="O25">
        <v>8.6674138474420044</v>
      </c>
      <c r="P25">
        <v>4.6537109536738024E-3</v>
      </c>
    </row>
    <row r="26" spans="2:19">
      <c r="B26" s="25">
        <v>44256</v>
      </c>
      <c r="C26" s="26">
        <v>720.63220200000001</v>
      </c>
      <c r="D26" s="28">
        <f t="shared" si="0"/>
        <v>6.3009881561445047E-2</v>
      </c>
      <c r="F26" s="25">
        <v>44256</v>
      </c>
      <c r="G26" s="26">
        <v>14690.700194999999</v>
      </c>
      <c r="H26" s="28">
        <f t="shared" si="1"/>
        <v>1.1119012444118725E-2</v>
      </c>
      <c r="K26" t="s">
        <v>252</v>
      </c>
      <c r="L26">
        <v>58</v>
      </c>
      <c r="M26">
        <v>0.31509926314105513</v>
      </c>
      <c r="N26">
        <v>5.4327459162250881E-3</v>
      </c>
    </row>
    <row r="27" spans="2:19" ht="15" thickBot="1">
      <c r="B27" s="25">
        <v>44287</v>
      </c>
      <c r="C27" s="26">
        <v>683.20062299999995</v>
      </c>
      <c r="D27" s="28">
        <f t="shared" si="0"/>
        <v>-5.1942695450071019E-2</v>
      </c>
      <c r="F27" s="25">
        <v>44287</v>
      </c>
      <c r="G27" s="26">
        <v>14631.099609000001</v>
      </c>
      <c r="H27" s="28">
        <f t="shared" si="1"/>
        <v>-4.057028270189833E-3</v>
      </c>
      <c r="K27" s="29" t="s">
        <v>253</v>
      </c>
      <c r="L27" s="29">
        <v>59</v>
      </c>
      <c r="M27" s="29">
        <v>0.36218712032497846</v>
      </c>
      <c r="N27" s="29"/>
      <c r="O27" s="29"/>
      <c r="P27" s="29"/>
    </row>
    <row r="28" spans="2:19" ht="15" thickBot="1">
      <c r="B28" s="25">
        <v>44317</v>
      </c>
      <c r="C28" s="26">
        <v>845.96380599999998</v>
      </c>
      <c r="D28" s="28">
        <f t="shared" si="0"/>
        <v>0.23823629183078188</v>
      </c>
      <c r="F28" s="25">
        <v>44317</v>
      </c>
      <c r="G28" s="26">
        <v>15582.799805000001</v>
      </c>
      <c r="H28" s="28">
        <f t="shared" si="1"/>
        <v>6.504638895456516E-2</v>
      </c>
    </row>
    <row r="29" spans="2:19">
      <c r="B29" s="25">
        <v>44348</v>
      </c>
      <c r="C29" s="26">
        <v>859.49456799999996</v>
      </c>
      <c r="D29" s="28">
        <f t="shared" si="0"/>
        <v>1.5994492795120774E-2</v>
      </c>
      <c r="F29" s="25">
        <v>44348</v>
      </c>
      <c r="G29" s="26">
        <v>15721.5</v>
      </c>
      <c r="H29" s="28">
        <f t="shared" si="1"/>
        <v>8.9008520121971468E-3</v>
      </c>
      <c r="K29" s="30"/>
      <c r="L29" s="30" t="s">
        <v>260</v>
      </c>
      <c r="M29" s="30" t="s">
        <v>248</v>
      </c>
      <c r="N29" s="30" t="s">
        <v>261</v>
      </c>
      <c r="O29" s="30" t="s">
        <v>262</v>
      </c>
      <c r="P29" s="30" t="s">
        <v>263</v>
      </c>
      <c r="Q29" s="30" t="s">
        <v>264</v>
      </c>
      <c r="R29" s="30" t="s">
        <v>265</v>
      </c>
      <c r="S29" s="30" t="s">
        <v>266</v>
      </c>
    </row>
    <row r="30" spans="2:19">
      <c r="B30" s="25">
        <v>44378</v>
      </c>
      <c r="C30" s="26">
        <v>975.59173599999997</v>
      </c>
      <c r="D30" s="28">
        <f t="shared" si="0"/>
        <v>0.13507609276711574</v>
      </c>
      <c r="F30" s="25">
        <v>44378</v>
      </c>
      <c r="G30" s="26">
        <v>15763.049805000001</v>
      </c>
      <c r="H30" s="28">
        <f t="shared" si="1"/>
        <v>2.6428651846197582E-3</v>
      </c>
      <c r="K30" t="s">
        <v>254</v>
      </c>
      <c r="L30">
        <v>1.0195704471114321E-2</v>
      </c>
      <c r="M30">
        <v>9.8956694535453308E-3</v>
      </c>
      <c r="N30">
        <v>1.0303198302022403</v>
      </c>
      <c r="O30">
        <v>0.30713737688919901</v>
      </c>
      <c r="P30">
        <v>-9.6126300913692946E-3</v>
      </c>
      <c r="Q30">
        <v>3.0004039033597937E-2</v>
      </c>
      <c r="R30">
        <v>-9.6126300913692946E-3</v>
      </c>
      <c r="S30">
        <v>3.0004039033597937E-2</v>
      </c>
    </row>
    <row r="31" spans="2:19" ht="15" thickBot="1">
      <c r="B31" s="25">
        <v>44409</v>
      </c>
      <c r="C31" s="26">
        <v>1085.713745</v>
      </c>
      <c r="D31" s="28">
        <f t="shared" si="0"/>
        <v>0.11287714413357852</v>
      </c>
      <c r="F31" s="25">
        <v>44409</v>
      </c>
      <c r="G31" s="26">
        <v>17132.199218999998</v>
      </c>
      <c r="H31" s="28">
        <f t="shared" si="1"/>
        <v>8.6858154414110045E-2</v>
      </c>
      <c r="K31" s="29" t="s">
        <v>267</v>
      </c>
      <c r="L31" s="29">
        <v>0.53001468544504171</v>
      </c>
      <c r="M31" s="29">
        <v>0.18002927654690715</v>
      </c>
      <c r="N31" s="29">
        <v>2.9440471883857451</v>
      </c>
      <c r="O31" s="29">
        <v>4.6537109536738024E-3</v>
      </c>
      <c r="P31" s="29">
        <v>0.16964693492307992</v>
      </c>
      <c r="Q31" s="29">
        <v>0.8903824359670035</v>
      </c>
      <c r="R31" s="29">
        <v>0.16964693492307992</v>
      </c>
      <c r="S31" s="29">
        <v>0.8903824359670035</v>
      </c>
    </row>
    <row r="32" spans="2:19">
      <c r="B32" s="25">
        <v>44440</v>
      </c>
      <c r="C32" s="26">
        <v>1017.1714480000001</v>
      </c>
      <c r="D32" s="28">
        <f t="shared" si="0"/>
        <v>-6.3131094467262172E-2</v>
      </c>
      <c r="F32" s="25">
        <v>44440</v>
      </c>
      <c r="G32" s="26">
        <v>17618.150390999999</v>
      </c>
      <c r="H32" s="28">
        <f t="shared" si="1"/>
        <v>2.8364786434485811E-2</v>
      </c>
    </row>
    <row r="33" spans="2:8">
      <c r="B33" s="25">
        <v>44470</v>
      </c>
      <c r="C33" s="26">
        <v>944.82672100000002</v>
      </c>
      <c r="D33" s="28">
        <f t="shared" si="0"/>
        <v>-7.1123434640489425E-2</v>
      </c>
      <c r="F33" s="25">
        <v>44470</v>
      </c>
      <c r="G33" s="26">
        <v>17671.650390999999</v>
      </c>
      <c r="H33" s="28">
        <f t="shared" si="1"/>
        <v>3.0366411236522062E-3</v>
      </c>
    </row>
    <row r="34" spans="2:8">
      <c r="B34" s="25">
        <v>44501</v>
      </c>
      <c r="C34" s="26">
        <v>911.69134499999996</v>
      </c>
      <c r="D34" s="28">
        <f t="shared" si="0"/>
        <v>-3.5070320582095471E-2</v>
      </c>
      <c r="F34" s="25">
        <v>44501</v>
      </c>
      <c r="G34" s="26">
        <v>16983.199218999998</v>
      </c>
      <c r="H34" s="28">
        <f t="shared" si="1"/>
        <v>-3.8957944321409976E-2</v>
      </c>
    </row>
    <row r="35" spans="2:8">
      <c r="B35" s="25">
        <v>44531</v>
      </c>
      <c r="C35" s="26">
        <v>956.38207999999997</v>
      </c>
      <c r="D35" s="28">
        <f t="shared" si="0"/>
        <v>4.9019588970651062E-2</v>
      </c>
      <c r="F35" s="25">
        <v>44531</v>
      </c>
      <c r="G35" s="26">
        <v>17354.050781000002</v>
      </c>
      <c r="H35" s="28">
        <f t="shared" si="1"/>
        <v>2.1836378247575006E-2</v>
      </c>
    </row>
    <row r="36" spans="2:8">
      <c r="B36" s="25">
        <v>44562</v>
      </c>
      <c r="C36" s="26">
        <v>877.32141100000001</v>
      </c>
      <c r="D36" s="28">
        <f t="shared" si="0"/>
        <v>-8.2666405669165166E-2</v>
      </c>
      <c r="F36" s="25">
        <v>44562</v>
      </c>
      <c r="G36" s="26">
        <v>17339.849609000001</v>
      </c>
      <c r="H36" s="28">
        <f t="shared" si="1"/>
        <v>-8.183202976188575E-4</v>
      </c>
    </row>
    <row r="37" spans="2:8">
      <c r="B37" s="25">
        <v>44593</v>
      </c>
      <c r="C37" s="26">
        <v>758.45886199999995</v>
      </c>
      <c r="D37" s="28">
        <f t="shared" si="0"/>
        <v>-0.13548346992297455</v>
      </c>
      <c r="F37" s="25">
        <v>44593</v>
      </c>
      <c r="G37" s="26">
        <v>16793.900390999999</v>
      </c>
      <c r="H37" s="28">
        <f t="shared" si="1"/>
        <v>-3.1485233742548413E-2</v>
      </c>
    </row>
    <row r="38" spans="2:8">
      <c r="B38" s="25">
        <v>44621</v>
      </c>
      <c r="C38" s="26">
        <v>738.06408699999997</v>
      </c>
      <c r="D38" s="28">
        <f t="shared" si="0"/>
        <v>-2.6889757667568737E-2</v>
      </c>
      <c r="F38" s="25">
        <v>44621</v>
      </c>
      <c r="G38" s="26">
        <v>17464.75</v>
      </c>
      <c r="H38" s="28">
        <f t="shared" si="1"/>
        <v>3.9946027627954406E-2</v>
      </c>
    </row>
    <row r="39" spans="2:8">
      <c r="B39" s="25">
        <v>44652</v>
      </c>
      <c r="C39" s="26">
        <v>772.73028599999998</v>
      </c>
      <c r="D39" s="28">
        <f t="shared" si="0"/>
        <v>4.6969090639414901E-2</v>
      </c>
      <c r="F39" s="25">
        <v>44652</v>
      </c>
      <c r="G39" s="26">
        <v>17102.550781000002</v>
      </c>
      <c r="H39" s="28">
        <f t="shared" si="1"/>
        <v>-2.0738872242660134E-2</v>
      </c>
    </row>
    <row r="40" spans="2:8">
      <c r="B40" s="25">
        <v>44682</v>
      </c>
      <c r="C40" s="26">
        <v>757.47125200000005</v>
      </c>
      <c r="D40" s="28">
        <f t="shared" si="0"/>
        <v>-1.974690817282132E-2</v>
      </c>
      <c r="F40" s="25">
        <v>44682</v>
      </c>
      <c r="G40" s="26">
        <v>16584.550781000002</v>
      </c>
      <c r="H40" s="28">
        <f t="shared" si="1"/>
        <v>-3.0287879663861039E-2</v>
      </c>
    </row>
    <row r="41" spans="2:8">
      <c r="B41" s="25">
        <v>44713</v>
      </c>
      <c r="C41" s="26">
        <v>748.18737799999997</v>
      </c>
      <c r="D41" s="28">
        <f t="shared" si="0"/>
        <v>-1.2256404418632738E-2</v>
      </c>
      <c r="F41" s="25">
        <v>44713</v>
      </c>
      <c r="G41" s="26">
        <v>15780.25</v>
      </c>
      <c r="H41" s="28">
        <f t="shared" si="1"/>
        <v>-4.8496989253483114E-2</v>
      </c>
    </row>
    <row r="42" spans="2:8">
      <c r="B42" s="25">
        <v>44743</v>
      </c>
      <c r="C42" s="26">
        <v>843.198486</v>
      </c>
      <c r="D42" s="28">
        <f t="shared" si="0"/>
        <v>0.12698838659103928</v>
      </c>
      <c r="F42" s="25">
        <v>44743</v>
      </c>
      <c r="G42" s="26">
        <v>17158.25</v>
      </c>
      <c r="H42" s="28">
        <f t="shared" si="1"/>
        <v>8.7324345305048956E-2</v>
      </c>
    </row>
    <row r="43" spans="2:8">
      <c r="B43" s="25">
        <v>44774</v>
      </c>
      <c r="C43" s="26">
        <v>912.82714799999997</v>
      </c>
      <c r="D43" s="28">
        <f t="shared" si="0"/>
        <v>8.2576834702713153E-2</v>
      </c>
      <c r="F43" s="25">
        <v>44774</v>
      </c>
      <c r="G43" s="26">
        <v>17759.300781000002</v>
      </c>
      <c r="H43" s="28">
        <f t="shared" si="1"/>
        <v>3.5029841679658613E-2</v>
      </c>
    </row>
    <row r="44" spans="2:8">
      <c r="B44" s="25">
        <v>44805</v>
      </c>
      <c r="C44" s="26">
        <v>899.19769299999996</v>
      </c>
      <c r="D44" s="28">
        <f t="shared" si="0"/>
        <v>-1.4931035990616737E-2</v>
      </c>
      <c r="F44" s="25">
        <v>44805</v>
      </c>
      <c r="G44" s="26">
        <v>17094.349609000001</v>
      </c>
      <c r="H44" s="28">
        <f t="shared" si="1"/>
        <v>-3.7442418493829788E-2</v>
      </c>
    </row>
    <row r="45" spans="2:8">
      <c r="B45" s="25">
        <v>44835</v>
      </c>
      <c r="C45" s="26">
        <v>819.05059800000004</v>
      </c>
      <c r="D45" s="28">
        <f t="shared" si="0"/>
        <v>-8.9131784505145473E-2</v>
      </c>
      <c r="F45" s="25">
        <v>44835</v>
      </c>
      <c r="G45" s="26">
        <v>18012.199218999998</v>
      </c>
      <c r="H45" s="28">
        <f t="shared" si="1"/>
        <v>5.3693157738903263E-2</v>
      </c>
    </row>
    <row r="46" spans="2:8">
      <c r="B46" s="25">
        <v>44866</v>
      </c>
      <c r="C46" s="26">
        <v>870.556152</v>
      </c>
      <c r="D46" s="28">
        <f t="shared" si="0"/>
        <v>6.288445930662756E-2</v>
      </c>
      <c r="F46" s="25">
        <v>44866</v>
      </c>
      <c r="G46" s="26">
        <v>18758.349609000001</v>
      </c>
      <c r="H46" s="28">
        <f t="shared" si="1"/>
        <v>4.1424724484111497E-2</v>
      </c>
    </row>
    <row r="47" spans="2:8">
      <c r="B47" s="25">
        <v>44896</v>
      </c>
      <c r="C47" s="26">
        <v>863.24749799999995</v>
      </c>
      <c r="D47" s="28">
        <f t="shared" si="0"/>
        <v>-8.3953849308965323E-3</v>
      </c>
      <c r="F47" s="25">
        <v>44896</v>
      </c>
      <c r="G47" s="26">
        <v>18105.300781000002</v>
      </c>
      <c r="H47" s="28">
        <f t="shared" si="1"/>
        <v>-3.4813767821379904E-2</v>
      </c>
    </row>
    <row r="48" spans="2:8">
      <c r="B48" s="25">
        <v>44927</v>
      </c>
      <c r="C48" s="26">
        <v>901.96307400000001</v>
      </c>
      <c r="D48" s="28">
        <f t="shared" si="0"/>
        <v>4.4848755530363604E-2</v>
      </c>
      <c r="F48" s="25">
        <v>44927</v>
      </c>
      <c r="G48" s="26">
        <v>17662.150390999999</v>
      </c>
      <c r="H48" s="28">
        <f t="shared" si="1"/>
        <v>-2.4476278818027275E-2</v>
      </c>
    </row>
    <row r="49" spans="2:8">
      <c r="B49" s="25">
        <v>44958</v>
      </c>
      <c r="C49" s="26">
        <v>911.88885500000004</v>
      </c>
      <c r="D49" s="28">
        <f t="shared" si="0"/>
        <v>1.1004642303128254E-2</v>
      </c>
      <c r="F49" s="25">
        <v>44958</v>
      </c>
      <c r="G49" s="26">
        <v>17303.949218999998</v>
      </c>
      <c r="H49" s="28">
        <f t="shared" si="1"/>
        <v>-2.0280722566065723E-2</v>
      </c>
    </row>
    <row r="50" spans="2:8">
      <c r="B50" s="25">
        <v>44986</v>
      </c>
      <c r="C50" s="26">
        <v>956.18457000000001</v>
      </c>
      <c r="D50" s="28">
        <f t="shared" si="0"/>
        <v>4.8575782845816207E-2</v>
      </c>
      <c r="F50" s="25">
        <v>44986</v>
      </c>
      <c r="G50" s="26">
        <v>17359.75</v>
      </c>
      <c r="H50" s="28">
        <f t="shared" si="1"/>
        <v>3.2247425309555044E-3</v>
      </c>
    </row>
    <row r="51" spans="2:8">
      <c r="B51" s="25">
        <v>45017</v>
      </c>
      <c r="C51" s="26">
        <v>896.28411900000003</v>
      </c>
      <c r="D51" s="28">
        <f t="shared" si="0"/>
        <v>-6.2645280921025503E-2</v>
      </c>
      <c r="F51" s="25">
        <v>45017</v>
      </c>
      <c r="G51" s="26">
        <v>18065</v>
      </c>
      <c r="H51" s="28">
        <f t="shared" si="1"/>
        <v>4.0625585045867663E-2</v>
      </c>
    </row>
    <row r="52" spans="2:8">
      <c r="B52" s="25">
        <v>45047</v>
      </c>
      <c r="C52" s="26">
        <v>1045.2696530000001</v>
      </c>
      <c r="D52" s="28">
        <f t="shared" si="0"/>
        <v>0.16622578805281729</v>
      </c>
      <c r="F52" s="25">
        <v>45047</v>
      </c>
      <c r="G52" s="26">
        <v>18534.400390999999</v>
      </c>
      <c r="H52" s="28">
        <f t="shared" si="1"/>
        <v>2.5983968502629295E-2</v>
      </c>
    </row>
    <row r="53" spans="2:8">
      <c r="B53" s="25">
        <v>45078</v>
      </c>
      <c r="C53" s="26">
        <v>1067.639893</v>
      </c>
      <c r="D53" s="28">
        <f t="shared" si="0"/>
        <v>2.1401405786340089E-2</v>
      </c>
      <c r="F53" s="25">
        <v>45078</v>
      </c>
      <c r="G53" s="26">
        <v>19189.050781000002</v>
      </c>
      <c r="H53" s="28">
        <f t="shared" si="1"/>
        <v>3.5320829171138879E-2</v>
      </c>
    </row>
    <row r="54" spans="2:8">
      <c r="B54" s="25">
        <v>45108</v>
      </c>
      <c r="C54" s="26">
        <v>1023.146606</v>
      </c>
      <c r="D54" s="28">
        <f t="shared" si="0"/>
        <v>-4.1674432823015528E-2</v>
      </c>
      <c r="F54" s="25">
        <v>45108</v>
      </c>
      <c r="G54" s="26">
        <v>19753.800781000002</v>
      </c>
      <c r="H54" s="28">
        <f t="shared" si="1"/>
        <v>2.9430846082245221E-2</v>
      </c>
    </row>
    <row r="55" spans="2:8">
      <c r="B55" s="25">
        <v>45139</v>
      </c>
      <c r="C55" s="26">
        <v>992.72735599999999</v>
      </c>
      <c r="D55" s="28">
        <f t="shared" si="0"/>
        <v>-2.9731076486608665E-2</v>
      </c>
      <c r="F55" s="25">
        <v>45139</v>
      </c>
      <c r="G55" s="26">
        <v>19253.800781000002</v>
      </c>
      <c r="H55" s="28">
        <f t="shared" si="1"/>
        <v>-2.5311584618233018E-2</v>
      </c>
    </row>
    <row r="56" spans="2:8">
      <c r="B56" s="25">
        <v>45170</v>
      </c>
      <c r="C56" s="26">
        <v>979.34472700000003</v>
      </c>
      <c r="D56" s="28">
        <f t="shared" si="0"/>
        <v>-1.348066910729917E-2</v>
      </c>
      <c r="F56" s="25">
        <v>45170</v>
      </c>
      <c r="G56" s="26">
        <v>19638.300781000002</v>
      </c>
      <c r="H56" s="28">
        <f t="shared" si="1"/>
        <v>1.9970083017553097E-2</v>
      </c>
    </row>
    <row r="57" spans="2:8">
      <c r="B57" s="25">
        <v>45200</v>
      </c>
      <c r="C57" s="26">
        <v>979.59161400000005</v>
      </c>
      <c r="D57" s="28">
        <f t="shared" si="0"/>
        <v>2.5209407187620769E-4</v>
      </c>
      <c r="F57" s="25">
        <v>45200</v>
      </c>
      <c r="G57" s="26">
        <v>19079.599609000001</v>
      </c>
      <c r="H57" s="28">
        <f t="shared" si="1"/>
        <v>-2.8449567924967445E-2</v>
      </c>
    </row>
    <row r="58" spans="2:8">
      <c r="B58" s="25">
        <v>45231</v>
      </c>
      <c r="C58" s="26">
        <v>995.73956299999998</v>
      </c>
      <c r="D58" s="28">
        <f t="shared" si="0"/>
        <v>1.6484368352299938E-2</v>
      </c>
      <c r="F58" s="25">
        <v>45231</v>
      </c>
      <c r="G58" s="26">
        <v>20133.150390999999</v>
      </c>
      <c r="H58" s="28">
        <f t="shared" si="1"/>
        <v>5.5218704982835654E-2</v>
      </c>
    </row>
    <row r="59" spans="2:8">
      <c r="B59" s="25">
        <v>45261</v>
      </c>
      <c r="C59" s="26">
        <v>1122.747437</v>
      </c>
      <c r="D59" s="28">
        <f t="shared" si="0"/>
        <v>0.12755129827055001</v>
      </c>
      <c r="F59" s="25">
        <v>45261</v>
      </c>
      <c r="G59" s="26">
        <v>21731.400390999999</v>
      </c>
      <c r="H59" s="28">
        <f t="shared" si="1"/>
        <v>7.9383999471560829E-2</v>
      </c>
    </row>
    <row r="60" spans="2:8">
      <c r="B60" s="25">
        <v>45292</v>
      </c>
      <c r="C60" s="26">
        <v>1155.5008539999999</v>
      </c>
      <c r="D60" s="28">
        <f t="shared" si="0"/>
        <v>2.9172560026071048E-2</v>
      </c>
      <c r="F60" s="25">
        <v>45292</v>
      </c>
      <c r="G60" s="26">
        <v>21725.699218999998</v>
      </c>
      <c r="H60" s="28">
        <f t="shared" si="1"/>
        <v>-2.6234719794504535E-4</v>
      </c>
    </row>
    <row r="61" spans="2:8">
      <c r="B61" s="25">
        <v>45323</v>
      </c>
      <c r="C61" s="26">
        <v>1248.302246</v>
      </c>
      <c r="D61" s="28">
        <f t="shared" si="0"/>
        <v>8.0312698756343837E-2</v>
      </c>
      <c r="F61" s="25">
        <v>45323</v>
      </c>
      <c r="G61" s="26">
        <v>21982.800781000002</v>
      </c>
      <c r="H61" s="28">
        <f t="shared" si="1"/>
        <v>1.1833983312037999E-2</v>
      </c>
    </row>
    <row r="62" spans="2:8">
      <c r="B62" s="25">
        <v>45352</v>
      </c>
      <c r="C62" s="26">
        <v>1242.4464109999999</v>
      </c>
      <c r="D62" s="28">
        <f t="shared" si="0"/>
        <v>-4.6910393847037213E-3</v>
      </c>
      <c r="F62" s="25">
        <v>45352</v>
      </c>
      <c r="G62" s="26">
        <v>22326.900390999999</v>
      </c>
      <c r="H62" s="28">
        <f t="shared" si="1"/>
        <v>1.5653128708576824E-2</v>
      </c>
    </row>
    <row r="63" spans="2:8">
      <c r="B63" s="25">
        <v>45383</v>
      </c>
      <c r="C63" s="26">
        <v>1210.3876949999999</v>
      </c>
      <c r="D63" s="28">
        <f t="shared" si="0"/>
        <v>-2.5802896379407692E-2</v>
      </c>
      <c r="F63" s="25">
        <v>45383</v>
      </c>
      <c r="G63" s="26">
        <v>22604.849609000001</v>
      </c>
      <c r="H63" s="28">
        <f t="shared" si="1"/>
        <v>1.2449073231501684E-2</v>
      </c>
    </row>
    <row r="64" spans="2:8">
      <c r="B64" s="25">
        <v>45413</v>
      </c>
      <c r="C64" s="26">
        <v>1260.8576660000001</v>
      </c>
      <c r="D64" s="28">
        <f t="shared" si="0"/>
        <v>4.1697359621621244E-2</v>
      </c>
      <c r="F64" s="25">
        <v>45413</v>
      </c>
      <c r="G64" s="26">
        <v>22530.699218999998</v>
      </c>
      <c r="H64" s="28">
        <f t="shared" si="1"/>
        <v>-3.2802868093614324E-3</v>
      </c>
    </row>
    <row r="65" spans="2:8">
      <c r="B65" s="25">
        <v>45444</v>
      </c>
      <c r="C65" s="26">
        <v>1375.849976</v>
      </c>
      <c r="D65" s="28">
        <f t="shared" si="0"/>
        <v>9.1201658284560061E-2</v>
      </c>
      <c r="F65" s="25">
        <v>45444</v>
      </c>
      <c r="G65" s="26">
        <v>24010.599609000001</v>
      </c>
      <c r="H65" s="28">
        <f t="shared" si="1"/>
        <v>6.5683731144571489E-2</v>
      </c>
    </row>
    <row r="66" spans="2:8">
      <c r="B66" s="25">
        <v>45474</v>
      </c>
      <c r="C66" s="26">
        <v>1467.5</v>
      </c>
      <c r="D66" s="28">
        <f t="shared" si="0"/>
        <v>6.661338488841162E-2</v>
      </c>
      <c r="F66" s="25">
        <v>45474</v>
      </c>
      <c r="G66" s="26">
        <v>24834.849609000001</v>
      </c>
      <c r="H66" s="28">
        <f t="shared" si="1"/>
        <v>3.4328588765898393E-2</v>
      </c>
    </row>
    <row r="67" spans="2:8">
      <c r="B67" s="25">
        <v>45502</v>
      </c>
      <c r="C67" s="26">
        <v>1477.900024</v>
      </c>
      <c r="D67" s="28">
        <f t="shared" si="0"/>
        <v>7.0868988074956896E-3</v>
      </c>
      <c r="F67" s="25">
        <v>45502</v>
      </c>
      <c r="G67" s="26">
        <v>24836.099609000001</v>
      </c>
      <c r="H67" s="28">
        <f t="shared" si="1"/>
        <v>5.0332497264049536E-5</v>
      </c>
    </row>
  </sheetData>
  <mergeCells count="2">
    <mergeCell ref="B5:D5"/>
    <mergeCell ref="F5:H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FC2B-2AC6-4746-BE7A-F9A3B774D915}">
  <dimension ref="B5:S67"/>
  <sheetViews>
    <sheetView showGridLines="0" workbookViewId="0">
      <selection activeCell="K5" sqref="K5:M8"/>
    </sheetView>
  </sheetViews>
  <sheetFormatPr defaultRowHeight="14.5"/>
  <cols>
    <col min="2" max="2" width="10.36328125" bestFit="1" customWidth="1"/>
    <col min="6" max="6" width="10.36328125" bestFit="1" customWidth="1"/>
  </cols>
  <sheetData>
    <row r="5" spans="2:13">
      <c r="B5" s="134" t="s">
        <v>278</v>
      </c>
      <c r="C5" s="134"/>
      <c r="D5" s="134"/>
      <c r="F5" s="134" t="s">
        <v>240</v>
      </c>
      <c r="G5" s="134"/>
      <c r="H5" s="134"/>
      <c r="K5" s="32" t="s">
        <v>241</v>
      </c>
      <c r="L5" s="27"/>
      <c r="M5" s="27"/>
    </row>
    <row r="6" spans="2:13" ht="16.5">
      <c r="B6" s="2" t="s">
        <v>236</v>
      </c>
      <c r="C6" s="2" t="s">
        <v>237</v>
      </c>
      <c r="D6" s="2" t="s">
        <v>238</v>
      </c>
      <c r="F6" s="2" t="s">
        <v>236</v>
      </c>
      <c r="G6" s="2" t="s">
        <v>237</v>
      </c>
      <c r="H6" s="2" t="s">
        <v>238</v>
      </c>
      <c r="K6" s="27" t="s">
        <v>242</v>
      </c>
      <c r="L6" s="27"/>
      <c r="M6" s="27">
        <f>SLOPE(D8:D67,H8:H67)</f>
        <v>0.62327392883822652</v>
      </c>
    </row>
    <row r="7" spans="2:13" ht="16.5">
      <c r="B7" s="25">
        <v>43678</v>
      </c>
      <c r="C7" s="26">
        <v>2462.8483890000002</v>
      </c>
      <c r="D7" s="27"/>
      <c r="F7" s="25">
        <v>43678</v>
      </c>
      <c r="G7" s="26">
        <v>11023.25</v>
      </c>
      <c r="H7" s="27"/>
      <c r="K7" s="27" t="s">
        <v>268</v>
      </c>
      <c r="L7" s="27"/>
      <c r="M7" s="27">
        <f>L31</f>
        <v>0.62327392883822641</v>
      </c>
    </row>
    <row r="8" spans="2:13" ht="15" thickBot="1">
      <c r="B8" s="25">
        <v>43709</v>
      </c>
      <c r="C8" s="26">
        <v>2699.4577640000002</v>
      </c>
      <c r="D8" s="28">
        <f>(C8/C7)-1</f>
        <v>9.6071433408887685E-2</v>
      </c>
      <c r="F8" s="25">
        <v>43709</v>
      </c>
      <c r="G8" s="26">
        <v>11474.450194999999</v>
      </c>
      <c r="H8" s="28">
        <f>(G8/G7)-1</f>
        <v>4.0931684847935079E-2</v>
      </c>
      <c r="K8" s="33" t="s">
        <v>269</v>
      </c>
      <c r="L8" s="34"/>
      <c r="M8" s="33">
        <f>0.33+0.67*M7</f>
        <v>0.74759353232161174</v>
      </c>
    </row>
    <row r="9" spans="2:13">
      <c r="B9" s="25">
        <v>43739</v>
      </c>
      <c r="C9" s="26">
        <v>2995.108643</v>
      </c>
      <c r="D9" s="28">
        <f t="shared" ref="D9:D67" si="0">(C9/C8)-1</f>
        <v>0.10952232072040657</v>
      </c>
      <c r="F9" s="25">
        <v>43739</v>
      </c>
      <c r="G9" s="26">
        <v>11877.450194999999</v>
      </c>
      <c r="H9" s="28">
        <f t="shared" ref="H9:H67" si="1">(G9/G8)-1</f>
        <v>3.5121508495074449E-2</v>
      </c>
    </row>
    <row r="10" spans="2:13">
      <c r="B10" s="25">
        <v>43770</v>
      </c>
      <c r="C10" s="26">
        <v>2803.5703130000002</v>
      </c>
      <c r="D10" s="28">
        <f t="shared" si="0"/>
        <v>-6.3950378043097889E-2</v>
      </c>
      <c r="F10" s="25">
        <v>43770</v>
      </c>
      <c r="G10" s="26">
        <v>12056.049805000001</v>
      </c>
      <c r="H10" s="28">
        <f t="shared" si="1"/>
        <v>1.5036864568389152E-2</v>
      </c>
    </row>
    <row r="11" spans="2:13">
      <c r="B11" s="25">
        <v>43800</v>
      </c>
      <c r="C11" s="26">
        <v>2776.155518</v>
      </c>
      <c r="D11" s="28">
        <f t="shared" si="0"/>
        <v>-9.7785294960783808E-3</v>
      </c>
      <c r="F11" s="25">
        <v>43800</v>
      </c>
      <c r="G11" s="26">
        <v>12168.450194999999</v>
      </c>
      <c r="H11" s="28">
        <f t="shared" si="1"/>
        <v>9.3231524270398491E-3</v>
      </c>
    </row>
    <row r="12" spans="2:13">
      <c r="B12" s="25">
        <v>43831</v>
      </c>
      <c r="C12" s="26">
        <v>2934.6853030000002</v>
      </c>
      <c r="D12" s="28">
        <f t="shared" si="0"/>
        <v>5.7104072150182761E-2</v>
      </c>
      <c r="F12" s="25">
        <v>43831</v>
      </c>
      <c r="G12" s="26">
        <v>11962.099609000001</v>
      </c>
      <c r="H12" s="28">
        <f t="shared" si="1"/>
        <v>-1.6957836264538284E-2</v>
      </c>
    </row>
    <row r="13" spans="2:13">
      <c r="B13" s="25">
        <v>43862</v>
      </c>
      <c r="C13" s="26">
        <v>2723.342529</v>
      </c>
      <c r="D13" s="28">
        <f t="shared" si="0"/>
        <v>-7.2015481109321544E-2</v>
      </c>
      <c r="F13" s="25">
        <v>43862</v>
      </c>
      <c r="G13" s="26">
        <v>11201.75</v>
      </c>
      <c r="H13" s="28">
        <f t="shared" si="1"/>
        <v>-6.35632233348008E-2</v>
      </c>
    </row>
    <row r="14" spans="2:13">
      <c r="B14" s="25">
        <v>43891</v>
      </c>
      <c r="C14" s="26">
        <v>2465.467529</v>
      </c>
      <c r="D14" s="28">
        <f t="shared" si="0"/>
        <v>-9.4690622738040409E-2</v>
      </c>
      <c r="F14" s="25">
        <v>43891</v>
      </c>
      <c r="G14" s="26">
        <v>8597.75</v>
      </c>
      <c r="H14" s="28">
        <f t="shared" si="1"/>
        <v>-0.23246367755038277</v>
      </c>
      <c r="K14" t="s">
        <v>243</v>
      </c>
    </row>
    <row r="15" spans="2:13" ht="15" thickBot="1">
      <c r="B15" s="25">
        <v>43922</v>
      </c>
      <c r="C15" s="26">
        <v>2902.6403810000002</v>
      </c>
      <c r="D15" s="28">
        <f t="shared" si="0"/>
        <v>0.17731843833178318</v>
      </c>
      <c r="F15" s="25">
        <v>43922</v>
      </c>
      <c r="G15" s="26">
        <v>9859.9003909999992</v>
      </c>
      <c r="H15" s="28">
        <f t="shared" si="1"/>
        <v>0.14680008036986414</v>
      </c>
    </row>
    <row r="16" spans="2:13">
      <c r="B16" s="25">
        <v>43952</v>
      </c>
      <c r="C16" s="26">
        <v>3132.3542480000001</v>
      </c>
      <c r="D16" s="28">
        <f t="shared" si="0"/>
        <v>7.9139623531613745E-2</v>
      </c>
      <c r="F16" s="25">
        <v>43952</v>
      </c>
      <c r="G16" s="26">
        <v>9580.2998050000006</v>
      </c>
      <c r="H16" s="28">
        <f t="shared" si="1"/>
        <v>-2.8357343878972152E-2</v>
      </c>
      <c r="K16" s="31" t="s">
        <v>244</v>
      </c>
      <c r="L16" s="31"/>
    </row>
    <row r="17" spans="2:19">
      <c r="B17" s="25">
        <v>43983</v>
      </c>
      <c r="C17" s="26">
        <v>3340.8935550000001</v>
      </c>
      <c r="D17" s="28">
        <f t="shared" si="0"/>
        <v>6.657590121971424E-2</v>
      </c>
      <c r="F17" s="25">
        <v>43983</v>
      </c>
      <c r="G17" s="26">
        <v>10302.099609000001</v>
      </c>
      <c r="H17" s="28">
        <f t="shared" si="1"/>
        <v>7.5342089359592856E-2</v>
      </c>
      <c r="K17" t="s">
        <v>245</v>
      </c>
      <c r="L17">
        <v>0.49507959431966636</v>
      </c>
    </row>
    <row r="18" spans="2:19">
      <c r="B18" s="25">
        <v>44013</v>
      </c>
      <c r="C18" s="26">
        <v>3544.6586910000001</v>
      </c>
      <c r="D18" s="28">
        <f t="shared" si="0"/>
        <v>6.0991208682791953E-2</v>
      </c>
      <c r="F18" s="25">
        <v>44013</v>
      </c>
      <c r="G18" s="26">
        <v>11073.450194999999</v>
      </c>
      <c r="H18" s="28">
        <f t="shared" si="1"/>
        <v>7.4873143851777568E-2</v>
      </c>
      <c r="K18" t="s">
        <v>246</v>
      </c>
      <c r="L18">
        <v>0.24510380471172541</v>
      </c>
    </row>
    <row r="19" spans="2:19">
      <c r="B19" s="25">
        <v>44044</v>
      </c>
      <c r="C19" s="26">
        <v>3454.2250979999999</v>
      </c>
      <c r="D19" s="28">
        <f t="shared" si="0"/>
        <v>-2.55126377130791E-2</v>
      </c>
      <c r="F19" s="25">
        <v>44044</v>
      </c>
      <c r="G19" s="26">
        <v>11387.5</v>
      </c>
      <c r="H19" s="28">
        <f t="shared" si="1"/>
        <v>2.8360610240682149E-2</v>
      </c>
      <c r="K19" t="s">
        <v>247</v>
      </c>
      <c r="L19">
        <v>0.23208835306882411</v>
      </c>
    </row>
    <row r="20" spans="2:19">
      <c r="B20" s="25">
        <v>44075</v>
      </c>
      <c r="C20" s="26">
        <v>3597.6933589999999</v>
      </c>
      <c r="D20" s="28">
        <f t="shared" si="0"/>
        <v>4.1534137738466592E-2</v>
      </c>
      <c r="F20" s="25">
        <v>44075</v>
      </c>
      <c r="G20" s="26">
        <v>11247.549805000001</v>
      </c>
      <c r="H20" s="28">
        <f t="shared" si="1"/>
        <v>-1.2289808562019666E-2</v>
      </c>
      <c r="K20" t="s">
        <v>248</v>
      </c>
      <c r="L20">
        <v>5.8803085765974095E-2</v>
      </c>
    </row>
    <row r="21" spans="2:19" ht="15" thickBot="1">
      <c r="B21" s="25">
        <v>44105</v>
      </c>
      <c r="C21" s="26">
        <v>3289.9409179999998</v>
      </c>
      <c r="D21" s="28">
        <f t="shared" si="0"/>
        <v>-8.5541598544002007E-2</v>
      </c>
      <c r="F21" s="25">
        <v>44105</v>
      </c>
      <c r="G21" s="26">
        <v>11642.400390999999</v>
      </c>
      <c r="H21" s="28">
        <f t="shared" si="1"/>
        <v>3.5105475667640107E-2</v>
      </c>
      <c r="K21" s="29" t="s">
        <v>249</v>
      </c>
      <c r="L21" s="29">
        <v>60</v>
      </c>
    </row>
    <row r="22" spans="2:19">
      <c r="B22" s="25">
        <v>44136</v>
      </c>
      <c r="C22" s="26">
        <v>3445.9482419999999</v>
      </c>
      <c r="D22" s="28">
        <f t="shared" si="0"/>
        <v>4.7419491075493037E-2</v>
      </c>
      <c r="F22" s="25">
        <v>44136</v>
      </c>
      <c r="G22" s="26">
        <v>12968.950194999999</v>
      </c>
      <c r="H22" s="28">
        <f t="shared" si="1"/>
        <v>0.1139412629225045</v>
      </c>
    </row>
    <row r="23" spans="2:19" ht="15" thickBot="1">
      <c r="B23" s="25">
        <v>44166</v>
      </c>
      <c r="C23" s="26">
        <v>3387.5996089999999</v>
      </c>
      <c r="D23" s="28">
        <f t="shared" si="0"/>
        <v>-1.6932533196184929E-2</v>
      </c>
      <c r="F23" s="25">
        <v>44166</v>
      </c>
      <c r="G23" s="26">
        <v>13981.75</v>
      </c>
      <c r="H23" s="28">
        <f t="shared" si="1"/>
        <v>7.8094201132060226E-2</v>
      </c>
      <c r="K23" t="s">
        <v>250</v>
      </c>
    </row>
    <row r="24" spans="2:19">
      <c r="B24" s="25">
        <v>44197</v>
      </c>
      <c r="C24" s="26">
        <v>3316.3210450000001</v>
      </c>
      <c r="D24" s="28">
        <f t="shared" si="0"/>
        <v>-2.1041023800637659E-2</v>
      </c>
      <c r="F24" s="25">
        <v>44197</v>
      </c>
      <c r="G24" s="26">
        <v>13634.599609000001</v>
      </c>
      <c r="H24" s="28">
        <f t="shared" si="1"/>
        <v>-2.4828822643803483E-2</v>
      </c>
      <c r="K24" s="30"/>
      <c r="L24" s="30" t="s">
        <v>255</v>
      </c>
      <c r="M24" s="30" t="s">
        <v>256</v>
      </c>
      <c r="N24" s="30" t="s">
        <v>257</v>
      </c>
      <c r="O24" s="30" t="s">
        <v>258</v>
      </c>
      <c r="P24" s="30" t="s">
        <v>259</v>
      </c>
    </row>
    <row r="25" spans="2:19">
      <c r="B25" s="25">
        <v>44228</v>
      </c>
      <c r="C25" s="26">
        <v>3186.219971</v>
      </c>
      <c r="D25" s="28">
        <f t="shared" si="0"/>
        <v>-3.9230542590607431E-2</v>
      </c>
      <c r="F25" s="25">
        <v>44228</v>
      </c>
      <c r="G25" s="26">
        <v>14529.150390999999</v>
      </c>
      <c r="H25" s="28">
        <f t="shared" si="1"/>
        <v>6.5608877976109925E-2</v>
      </c>
      <c r="K25" t="s">
        <v>251</v>
      </c>
      <c r="L25">
        <v>1</v>
      </c>
      <c r="M25">
        <v>6.5116499135636857E-2</v>
      </c>
      <c r="N25">
        <v>6.5116499135636857E-2</v>
      </c>
      <c r="O25">
        <v>18.831755626813507</v>
      </c>
      <c r="P25">
        <v>5.7859133643892275E-5</v>
      </c>
    </row>
    <row r="26" spans="2:19">
      <c r="B26" s="25">
        <v>44256</v>
      </c>
      <c r="C26" s="26">
        <v>3433.7292480000001</v>
      </c>
      <c r="D26" s="28">
        <f t="shared" si="0"/>
        <v>7.7681164280167136E-2</v>
      </c>
      <c r="F26" s="25">
        <v>44256</v>
      </c>
      <c r="G26" s="26">
        <v>14690.700194999999</v>
      </c>
      <c r="H26" s="28">
        <f t="shared" si="1"/>
        <v>1.1119012444118725E-2</v>
      </c>
      <c r="K26" t="s">
        <v>252</v>
      </c>
      <c r="L26">
        <v>58</v>
      </c>
      <c r="M26">
        <v>0.20055256794482931</v>
      </c>
      <c r="N26">
        <v>3.4578028956005055E-3</v>
      </c>
    </row>
    <row r="27" spans="2:19" ht="15" thickBot="1">
      <c r="B27" s="25">
        <v>44287</v>
      </c>
      <c r="C27" s="26">
        <v>3266.9709469999998</v>
      </c>
      <c r="D27" s="28">
        <f t="shared" si="0"/>
        <v>-4.85647786869422E-2</v>
      </c>
      <c r="F27" s="25">
        <v>44287</v>
      </c>
      <c r="G27" s="26">
        <v>14631.099609000001</v>
      </c>
      <c r="H27" s="28">
        <f t="shared" si="1"/>
        <v>-4.057028270189833E-3</v>
      </c>
      <c r="K27" s="29" t="s">
        <v>253</v>
      </c>
      <c r="L27" s="29">
        <v>59</v>
      </c>
      <c r="M27" s="29">
        <v>0.26566906708046617</v>
      </c>
      <c r="N27" s="29"/>
      <c r="O27" s="29"/>
      <c r="P27" s="29"/>
    </row>
    <row r="28" spans="2:19" ht="15" thickBot="1">
      <c r="B28" s="25">
        <v>44317</v>
      </c>
      <c r="C28" s="26">
        <v>3319.9270019999999</v>
      </c>
      <c r="D28" s="28">
        <f t="shared" si="0"/>
        <v>1.6209527375389943E-2</v>
      </c>
      <c r="F28" s="25">
        <v>44317</v>
      </c>
      <c r="G28" s="26">
        <v>15582.799805000001</v>
      </c>
      <c r="H28" s="28">
        <f t="shared" si="1"/>
        <v>6.504638895456516E-2</v>
      </c>
    </row>
    <row r="29" spans="2:19">
      <c r="B29" s="25">
        <v>44348</v>
      </c>
      <c r="C29" s="26">
        <v>3527.2875979999999</v>
      </c>
      <c r="D29" s="28">
        <f t="shared" si="0"/>
        <v>6.2459384159676112E-2</v>
      </c>
      <c r="F29" s="25">
        <v>44348</v>
      </c>
      <c r="G29" s="26">
        <v>15721.5</v>
      </c>
      <c r="H29" s="28">
        <f t="shared" si="1"/>
        <v>8.9008520121971468E-3</v>
      </c>
      <c r="K29" s="30"/>
      <c r="L29" s="30" t="s">
        <v>260</v>
      </c>
      <c r="M29" s="30" t="s">
        <v>248</v>
      </c>
      <c r="N29" s="30" t="s">
        <v>261</v>
      </c>
      <c r="O29" s="30" t="s">
        <v>262</v>
      </c>
      <c r="P29" s="30" t="s">
        <v>263</v>
      </c>
      <c r="Q29" s="30" t="s">
        <v>264</v>
      </c>
      <c r="R29" s="30" t="s">
        <v>265</v>
      </c>
      <c r="S29" s="30" t="s">
        <v>266</v>
      </c>
    </row>
    <row r="30" spans="2:19">
      <c r="B30" s="25">
        <v>44378</v>
      </c>
      <c r="C30" s="26">
        <v>3308.6232909999999</v>
      </c>
      <c r="D30" s="28">
        <f t="shared" si="0"/>
        <v>-6.1992196815474965E-2</v>
      </c>
      <c r="F30" s="25">
        <v>44378</v>
      </c>
      <c r="G30" s="26">
        <v>15763.049805000001</v>
      </c>
      <c r="H30" s="28">
        <f t="shared" si="1"/>
        <v>2.6428651846197582E-3</v>
      </c>
      <c r="K30" t="s">
        <v>254</v>
      </c>
      <c r="L30">
        <v>7.3928421035695472E-3</v>
      </c>
      <c r="M30">
        <v>7.8946994271793178E-3</v>
      </c>
      <c r="N30">
        <v>0.93643110440886312</v>
      </c>
      <c r="O30">
        <v>0.35293416891111928</v>
      </c>
      <c r="P30">
        <v>-8.4101157718866667E-3</v>
      </c>
      <c r="Q30">
        <v>2.3195799979025759E-2</v>
      </c>
      <c r="R30">
        <v>-8.4101157718866667E-3</v>
      </c>
      <c r="S30">
        <v>2.3195799979025759E-2</v>
      </c>
    </row>
    <row r="31" spans="2:19" ht="15" thickBot="1">
      <c r="B31" s="25">
        <v>44409</v>
      </c>
      <c r="C31" s="26">
        <v>3863.4753420000002</v>
      </c>
      <c r="D31" s="28">
        <f t="shared" si="0"/>
        <v>0.16769876839992315</v>
      </c>
      <c r="F31" s="25">
        <v>44409</v>
      </c>
      <c r="G31" s="26">
        <v>17132.199218999998</v>
      </c>
      <c r="H31" s="28">
        <f t="shared" si="1"/>
        <v>8.6858154414110045E-2</v>
      </c>
      <c r="K31" s="29" t="s">
        <v>267</v>
      </c>
      <c r="L31" s="29">
        <v>0.62327392883822641</v>
      </c>
      <c r="M31" s="29">
        <v>0.14362616224222935</v>
      </c>
      <c r="N31" s="29">
        <v>4.3395570772618592</v>
      </c>
      <c r="O31" s="29">
        <v>5.7859133643892275E-5</v>
      </c>
      <c r="P31" s="29">
        <v>0.33577492869727571</v>
      </c>
      <c r="Q31" s="29">
        <v>0.91077292897917705</v>
      </c>
      <c r="R31" s="29">
        <v>0.33577492869727571</v>
      </c>
      <c r="S31" s="29">
        <v>0.91077292897917705</v>
      </c>
    </row>
    <row r="32" spans="2:19">
      <c r="B32" s="25">
        <v>44440</v>
      </c>
      <c r="C32" s="26">
        <v>3816.5529790000001</v>
      </c>
      <c r="D32" s="28">
        <f t="shared" si="0"/>
        <v>-1.2145117762214053E-2</v>
      </c>
      <c r="F32" s="25">
        <v>44440</v>
      </c>
      <c r="G32" s="26">
        <v>17618.150390999999</v>
      </c>
      <c r="H32" s="28">
        <f t="shared" si="1"/>
        <v>2.8364786434485811E-2</v>
      </c>
    </row>
    <row r="33" spans="2:8">
      <c r="B33" s="25">
        <v>44470</v>
      </c>
      <c r="C33" s="26">
        <v>3552.5126949999999</v>
      </c>
      <c r="D33" s="28">
        <f t="shared" si="0"/>
        <v>-6.9182921199533065E-2</v>
      </c>
      <c r="F33" s="25">
        <v>44470</v>
      </c>
      <c r="G33" s="26">
        <v>17671.650390999999</v>
      </c>
      <c r="H33" s="28">
        <f t="shared" si="1"/>
        <v>3.0366411236522062E-3</v>
      </c>
    </row>
    <row r="34" spans="2:8">
      <c r="B34" s="25">
        <v>44501</v>
      </c>
      <c r="C34" s="26">
        <v>3426.6296390000002</v>
      </c>
      <c r="D34" s="28">
        <f t="shared" si="0"/>
        <v>-3.5434934877832891E-2</v>
      </c>
      <c r="F34" s="25">
        <v>44501</v>
      </c>
      <c r="G34" s="26">
        <v>16983.199218999998</v>
      </c>
      <c r="H34" s="28">
        <f t="shared" si="1"/>
        <v>-3.8957944321409976E-2</v>
      </c>
    </row>
    <row r="35" spans="2:8">
      <c r="B35" s="25">
        <v>44531</v>
      </c>
      <c r="C35" s="26">
        <v>3485.101318</v>
      </c>
      <c r="D35" s="28">
        <f t="shared" si="0"/>
        <v>1.7063903940626624E-2</v>
      </c>
      <c r="F35" s="25">
        <v>44531</v>
      </c>
      <c r="G35" s="26">
        <v>17354.050781000002</v>
      </c>
      <c r="H35" s="28">
        <f t="shared" si="1"/>
        <v>2.1836378247575006E-2</v>
      </c>
    </row>
    <row r="36" spans="2:8">
      <c r="B36" s="25">
        <v>44562</v>
      </c>
      <c r="C36" s="26">
        <v>3416.7714839999999</v>
      </c>
      <c r="D36" s="28">
        <f t="shared" si="0"/>
        <v>-1.9606269019235456E-2</v>
      </c>
      <c r="F36" s="25">
        <v>44562</v>
      </c>
      <c r="G36" s="26">
        <v>17339.849609000001</v>
      </c>
      <c r="H36" s="28">
        <f t="shared" si="1"/>
        <v>-8.183202976188575E-4</v>
      </c>
    </row>
    <row r="37" spans="2:8">
      <c r="B37" s="25">
        <v>44593</v>
      </c>
      <c r="C37" s="26">
        <v>3312.5375979999999</v>
      </c>
      <c r="D37" s="28">
        <f t="shared" si="0"/>
        <v>-3.050654294210331E-2</v>
      </c>
      <c r="F37" s="25">
        <v>44593</v>
      </c>
      <c r="G37" s="26">
        <v>16793.900390999999</v>
      </c>
      <c r="H37" s="28">
        <f t="shared" si="1"/>
        <v>-3.1485233742548413E-2</v>
      </c>
    </row>
    <row r="38" spans="2:8">
      <c r="B38" s="25">
        <v>44621</v>
      </c>
      <c r="C38" s="26">
        <v>3098.8984380000002</v>
      </c>
      <c r="D38" s="28">
        <f t="shared" si="0"/>
        <v>-6.44941087246792E-2</v>
      </c>
      <c r="F38" s="25">
        <v>44621</v>
      </c>
      <c r="G38" s="26">
        <v>17464.75</v>
      </c>
      <c r="H38" s="28">
        <f t="shared" si="1"/>
        <v>3.9946027627954406E-2</v>
      </c>
    </row>
    <row r="39" spans="2:8">
      <c r="B39" s="25">
        <v>44652</v>
      </c>
      <c r="C39" s="26">
        <v>3169.3063959999999</v>
      </c>
      <c r="D39" s="28">
        <f t="shared" si="0"/>
        <v>2.2720318012564578E-2</v>
      </c>
      <c r="F39" s="25">
        <v>44652</v>
      </c>
      <c r="G39" s="26">
        <v>17102.550781000002</v>
      </c>
      <c r="H39" s="28">
        <f t="shared" si="1"/>
        <v>-2.0738872242660134E-2</v>
      </c>
    </row>
    <row r="40" spans="2:8">
      <c r="B40" s="25">
        <v>44682</v>
      </c>
      <c r="C40" s="26">
        <v>3525.5</v>
      </c>
      <c r="D40" s="28">
        <f t="shared" si="0"/>
        <v>0.11238850382202048</v>
      </c>
      <c r="F40" s="25">
        <v>44682</v>
      </c>
      <c r="G40" s="26">
        <v>16584.550781000002</v>
      </c>
      <c r="H40" s="28">
        <f t="shared" si="1"/>
        <v>-3.0287879663861039E-2</v>
      </c>
    </row>
    <row r="41" spans="2:8">
      <c r="B41" s="25">
        <v>44713</v>
      </c>
      <c r="C41" s="26">
        <v>3350.1816410000001</v>
      </c>
      <c r="D41" s="28">
        <f t="shared" si="0"/>
        <v>-4.9728650971493371E-2</v>
      </c>
      <c r="F41" s="25">
        <v>44713</v>
      </c>
      <c r="G41" s="26">
        <v>15780.25</v>
      </c>
      <c r="H41" s="28">
        <f t="shared" si="1"/>
        <v>-4.8496989253483114E-2</v>
      </c>
    </row>
    <row r="42" spans="2:8">
      <c r="B42" s="25">
        <v>44743</v>
      </c>
      <c r="C42" s="26">
        <v>3834.6520999999998</v>
      </c>
      <c r="D42" s="28">
        <f t="shared" si="0"/>
        <v>0.14461020652461976</v>
      </c>
      <c r="F42" s="25">
        <v>44743</v>
      </c>
      <c r="G42" s="26">
        <v>17158.25</v>
      </c>
      <c r="H42" s="28">
        <f t="shared" si="1"/>
        <v>8.7324345305048956E-2</v>
      </c>
    </row>
    <row r="43" spans="2:8">
      <c r="B43" s="25">
        <v>44774</v>
      </c>
      <c r="C43" s="26">
        <v>3684.5754390000002</v>
      </c>
      <c r="D43" s="28">
        <f t="shared" si="0"/>
        <v>-3.9136969165990187E-2</v>
      </c>
      <c r="F43" s="25">
        <v>44774</v>
      </c>
      <c r="G43" s="26">
        <v>17759.300781000002</v>
      </c>
      <c r="H43" s="28">
        <f t="shared" si="1"/>
        <v>3.5029841679658613E-2</v>
      </c>
    </row>
    <row r="44" spans="2:8">
      <c r="B44" s="25">
        <v>44805</v>
      </c>
      <c r="C44" s="26">
        <v>3778.2690429999998</v>
      </c>
      <c r="D44" s="28">
        <f t="shared" si="0"/>
        <v>2.5428602440401793E-2</v>
      </c>
      <c r="F44" s="25">
        <v>44805</v>
      </c>
      <c r="G44" s="26">
        <v>17094.349609000001</v>
      </c>
      <c r="H44" s="28">
        <f t="shared" si="1"/>
        <v>-3.7442418493829788E-2</v>
      </c>
    </row>
    <row r="45" spans="2:8">
      <c r="B45" s="25">
        <v>44835</v>
      </c>
      <c r="C45" s="26">
        <v>3703.0585940000001</v>
      </c>
      <c r="D45" s="28">
        <f t="shared" si="0"/>
        <v>-1.9906059664899223E-2</v>
      </c>
      <c r="F45" s="25">
        <v>44835</v>
      </c>
      <c r="G45" s="26">
        <v>18012.199218999998</v>
      </c>
      <c r="H45" s="28">
        <f t="shared" si="1"/>
        <v>5.3693157738903263E-2</v>
      </c>
    </row>
    <row r="46" spans="2:8">
      <c r="B46" s="25">
        <v>44866</v>
      </c>
      <c r="C46" s="26">
        <v>4288.7661129999997</v>
      </c>
      <c r="D46" s="28">
        <f t="shared" si="0"/>
        <v>0.15816857987313804</v>
      </c>
      <c r="F46" s="25">
        <v>44866</v>
      </c>
      <c r="G46" s="26">
        <v>18758.349609000001</v>
      </c>
      <c r="H46" s="28">
        <f t="shared" si="1"/>
        <v>4.1424724484111497E-2</v>
      </c>
    </row>
    <row r="47" spans="2:8">
      <c r="B47" s="25">
        <v>44896</v>
      </c>
      <c r="C47" s="26">
        <v>4234.8408200000003</v>
      </c>
      <c r="D47" s="28">
        <f t="shared" si="0"/>
        <v>-1.2573614783175646E-2</v>
      </c>
      <c r="F47" s="25">
        <v>44896</v>
      </c>
      <c r="G47" s="26">
        <v>18105.300781000002</v>
      </c>
      <c r="H47" s="28">
        <f t="shared" si="1"/>
        <v>-3.4813767821379904E-2</v>
      </c>
    </row>
    <row r="48" spans="2:8">
      <c r="B48" s="25">
        <v>44927</v>
      </c>
      <c r="C48" s="26">
        <v>4244.8198240000002</v>
      </c>
      <c r="D48" s="28">
        <f t="shared" si="0"/>
        <v>2.3564059250755776E-3</v>
      </c>
      <c r="F48" s="25">
        <v>44927</v>
      </c>
      <c r="G48" s="26">
        <v>17662.150390999999</v>
      </c>
      <c r="H48" s="28">
        <f t="shared" si="1"/>
        <v>-2.4476278818027275E-2</v>
      </c>
    </row>
    <row r="49" spans="2:8">
      <c r="B49" s="25">
        <v>44958</v>
      </c>
      <c r="C49" s="26">
        <v>4386.5395509999998</v>
      </c>
      <c r="D49" s="28">
        <f t="shared" si="0"/>
        <v>3.3386511766347216E-2</v>
      </c>
      <c r="F49" s="25">
        <v>44958</v>
      </c>
      <c r="G49" s="26">
        <v>17303.949218999998</v>
      </c>
      <c r="H49" s="28">
        <f t="shared" si="1"/>
        <v>-2.0280722566065723E-2</v>
      </c>
    </row>
    <row r="50" spans="2:8">
      <c r="B50" s="25">
        <v>44986</v>
      </c>
      <c r="C50" s="26">
        <v>4249.2929690000001</v>
      </c>
      <c r="D50" s="28">
        <f t="shared" si="0"/>
        <v>-3.1288121400549485E-2</v>
      </c>
      <c r="F50" s="25">
        <v>44986</v>
      </c>
      <c r="G50" s="26">
        <v>17359.75</v>
      </c>
      <c r="H50" s="28">
        <f t="shared" si="1"/>
        <v>3.2247425309555044E-3</v>
      </c>
    </row>
    <row r="51" spans="2:8">
      <c r="B51" s="25">
        <v>45017</v>
      </c>
      <c r="C51" s="26">
        <v>4476.7919920000004</v>
      </c>
      <c r="D51" s="28">
        <f t="shared" si="0"/>
        <v>5.3538088491351665E-2</v>
      </c>
      <c r="F51" s="25">
        <v>45017</v>
      </c>
      <c r="G51" s="26">
        <v>18065</v>
      </c>
      <c r="H51" s="28">
        <f t="shared" si="1"/>
        <v>4.0625585045867663E-2</v>
      </c>
    </row>
    <row r="52" spans="2:8">
      <c r="B52" s="25">
        <v>45047</v>
      </c>
      <c r="C52" s="26">
        <v>4657.0498049999997</v>
      </c>
      <c r="D52" s="28">
        <f t="shared" si="0"/>
        <v>4.0264951626548307E-2</v>
      </c>
      <c r="F52" s="25">
        <v>45047</v>
      </c>
      <c r="G52" s="26">
        <v>18534.400390999999</v>
      </c>
      <c r="H52" s="28">
        <f t="shared" si="1"/>
        <v>2.5983968502629295E-2</v>
      </c>
    </row>
    <row r="53" spans="2:8">
      <c r="B53" s="25">
        <v>45078</v>
      </c>
      <c r="C53" s="26">
        <v>5024.5498049999997</v>
      </c>
      <c r="D53" s="28">
        <f t="shared" si="0"/>
        <v>7.8912619660076899E-2</v>
      </c>
      <c r="F53" s="25">
        <v>45078</v>
      </c>
      <c r="G53" s="26">
        <v>19189.050781000002</v>
      </c>
      <c r="H53" s="28">
        <f t="shared" si="1"/>
        <v>3.5320829171138879E-2</v>
      </c>
    </row>
    <row r="54" spans="2:8">
      <c r="B54" s="25">
        <v>45108</v>
      </c>
      <c r="C54" s="26">
        <v>4793.9501950000003</v>
      </c>
      <c r="D54" s="28">
        <f t="shared" si="0"/>
        <v>-4.5894581395237943E-2</v>
      </c>
      <c r="F54" s="25">
        <v>45108</v>
      </c>
      <c r="G54" s="26">
        <v>19753.800781000002</v>
      </c>
      <c r="H54" s="28">
        <f t="shared" si="1"/>
        <v>2.9430846082245221E-2</v>
      </c>
    </row>
    <row r="55" spans="2:8">
      <c r="B55" s="25">
        <v>45139</v>
      </c>
      <c r="C55" s="26">
        <v>4467.75</v>
      </c>
      <c r="D55" s="28">
        <f t="shared" si="0"/>
        <v>-6.8044135156060004E-2</v>
      </c>
      <c r="F55" s="25">
        <v>45139</v>
      </c>
      <c r="G55" s="26">
        <v>19253.800781000002</v>
      </c>
      <c r="H55" s="28">
        <f t="shared" si="1"/>
        <v>-2.5311584618233018E-2</v>
      </c>
    </row>
    <row r="56" spans="2:8">
      <c r="B56" s="25">
        <v>45170</v>
      </c>
      <c r="C56" s="26">
        <v>4537.1499020000001</v>
      </c>
      <c r="D56" s="28">
        <f t="shared" si="0"/>
        <v>1.5533524033350066E-2</v>
      </c>
      <c r="F56" s="25">
        <v>45170</v>
      </c>
      <c r="G56" s="26">
        <v>19638.300781000002</v>
      </c>
      <c r="H56" s="28">
        <f t="shared" si="1"/>
        <v>1.9970083017553097E-2</v>
      </c>
    </row>
    <row r="57" spans="2:8">
      <c r="B57" s="25">
        <v>45200</v>
      </c>
      <c r="C57" s="26">
        <v>4426.5</v>
      </c>
      <c r="D57" s="28">
        <f t="shared" si="0"/>
        <v>-2.4387534992226123E-2</v>
      </c>
      <c r="F57" s="25">
        <v>45200</v>
      </c>
      <c r="G57" s="26">
        <v>19079.599609000001</v>
      </c>
      <c r="H57" s="28">
        <f t="shared" si="1"/>
        <v>-2.8449567924967445E-2</v>
      </c>
    </row>
    <row r="58" spans="2:8">
      <c r="B58" s="25">
        <v>45231</v>
      </c>
      <c r="C58" s="26">
        <v>4852.6499020000001</v>
      </c>
      <c r="D58" s="28">
        <f t="shared" si="0"/>
        <v>9.6272427877555744E-2</v>
      </c>
      <c r="F58" s="25">
        <v>45231</v>
      </c>
      <c r="G58" s="26">
        <v>20133.150390999999</v>
      </c>
      <c r="H58" s="28">
        <f t="shared" si="1"/>
        <v>5.5218704982835654E-2</v>
      </c>
    </row>
    <row r="59" spans="2:8">
      <c r="B59" s="25">
        <v>45261</v>
      </c>
      <c r="C59" s="26">
        <v>5338.4501950000003</v>
      </c>
      <c r="D59" s="28">
        <f t="shared" si="0"/>
        <v>0.10011031144030813</v>
      </c>
      <c r="F59" s="25">
        <v>45261</v>
      </c>
      <c r="G59" s="26">
        <v>21731.400390999999</v>
      </c>
      <c r="H59" s="28">
        <f t="shared" si="1"/>
        <v>7.9383999471560829E-2</v>
      </c>
    </row>
    <row r="60" spans="2:8">
      <c r="B60" s="25">
        <v>45292</v>
      </c>
      <c r="C60" s="26">
        <v>5198.3999020000001</v>
      </c>
      <c r="D60" s="28">
        <f t="shared" si="0"/>
        <v>-2.6234260484657379E-2</v>
      </c>
      <c r="F60" s="25">
        <v>45292</v>
      </c>
      <c r="G60" s="26">
        <v>21725.699218999998</v>
      </c>
      <c r="H60" s="28">
        <f t="shared" si="1"/>
        <v>-2.6234719794504535E-4</v>
      </c>
    </row>
    <row r="61" spans="2:8">
      <c r="B61" s="25">
        <v>45323</v>
      </c>
      <c r="C61" s="26">
        <v>4965.2001950000003</v>
      </c>
      <c r="D61" s="28">
        <f t="shared" si="0"/>
        <v>-4.4859901392018675E-2</v>
      </c>
      <c r="F61" s="25">
        <v>45323</v>
      </c>
      <c r="G61" s="26">
        <v>21982.800781000002</v>
      </c>
      <c r="H61" s="28">
        <f t="shared" si="1"/>
        <v>1.1833983312037999E-2</v>
      </c>
    </row>
    <row r="62" spans="2:8">
      <c r="B62" s="25">
        <v>45352</v>
      </c>
      <c r="C62" s="26">
        <v>4911.25</v>
      </c>
      <c r="D62" s="28">
        <f t="shared" si="0"/>
        <v>-1.0865663594859409E-2</v>
      </c>
      <c r="F62" s="25">
        <v>45352</v>
      </c>
      <c r="G62" s="26">
        <v>22326.900390999999</v>
      </c>
      <c r="H62" s="28">
        <f t="shared" si="1"/>
        <v>1.5653128708576824E-2</v>
      </c>
    </row>
    <row r="63" spans="2:8">
      <c r="B63" s="25">
        <v>45383</v>
      </c>
      <c r="C63" s="26">
        <v>4775.9501950000003</v>
      </c>
      <c r="D63" s="28">
        <f t="shared" si="0"/>
        <v>-2.754895495036902E-2</v>
      </c>
      <c r="F63" s="25">
        <v>45383</v>
      </c>
      <c r="G63" s="26">
        <v>22604.849609000001</v>
      </c>
      <c r="H63" s="28">
        <f t="shared" si="1"/>
        <v>1.2449073231501684E-2</v>
      </c>
    </row>
    <row r="64" spans="2:8">
      <c r="B64" s="25">
        <v>45413</v>
      </c>
      <c r="C64" s="26">
        <v>5179.7998049999997</v>
      </c>
      <c r="D64" s="28">
        <f t="shared" si="0"/>
        <v>8.4559007843673539E-2</v>
      </c>
      <c r="F64" s="25">
        <v>45413</v>
      </c>
      <c r="G64" s="26">
        <v>22530.699218999998</v>
      </c>
      <c r="H64" s="28">
        <f t="shared" si="1"/>
        <v>-3.2802868093614324E-3</v>
      </c>
    </row>
    <row r="65" spans="2:8">
      <c r="B65" s="25">
        <v>45444</v>
      </c>
      <c r="C65" s="26">
        <v>5475.5498049999997</v>
      </c>
      <c r="D65" s="28">
        <f t="shared" si="0"/>
        <v>5.7096801253692542E-2</v>
      </c>
      <c r="F65" s="25">
        <v>45444</v>
      </c>
      <c r="G65" s="26">
        <v>24010.599609000001</v>
      </c>
      <c r="H65" s="28">
        <f t="shared" si="1"/>
        <v>6.5683731144571489E-2</v>
      </c>
    </row>
    <row r="66" spans="2:8">
      <c r="B66" s="25">
        <v>45474</v>
      </c>
      <c r="C66" s="26">
        <v>5872.7998049999997</v>
      </c>
      <c r="D66" s="28">
        <f t="shared" si="0"/>
        <v>7.2549792102566846E-2</v>
      </c>
      <c r="F66" s="25">
        <v>45474</v>
      </c>
      <c r="G66" s="26">
        <v>24834.849609000001</v>
      </c>
      <c r="H66" s="28">
        <f t="shared" si="1"/>
        <v>3.4328588765898393E-2</v>
      </c>
    </row>
    <row r="67" spans="2:8">
      <c r="B67" s="25">
        <v>45502</v>
      </c>
      <c r="C67" s="26">
        <v>5897.6000979999999</v>
      </c>
      <c r="D67" s="28">
        <f t="shared" si="0"/>
        <v>4.2229079525042401E-3</v>
      </c>
      <c r="F67" s="25">
        <v>45502</v>
      </c>
      <c r="G67" s="26">
        <v>24836.099609000001</v>
      </c>
      <c r="H67" s="28">
        <f t="shared" si="1"/>
        <v>5.0332497264049536E-5</v>
      </c>
    </row>
  </sheetData>
  <mergeCells count="2">
    <mergeCell ref="B5:D5"/>
    <mergeCell ref="F5:H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6B48B-FC4E-4F2F-B647-9004505CC06F}">
  <dimension ref="B5:S67"/>
  <sheetViews>
    <sheetView showGridLines="0" workbookViewId="0">
      <selection activeCell="K15" sqref="K15"/>
    </sheetView>
  </sheetViews>
  <sheetFormatPr defaultRowHeight="14.5"/>
  <cols>
    <col min="2" max="2" width="10.36328125" bestFit="1" customWidth="1"/>
    <col min="3" max="3" width="8.81640625" bestFit="1" customWidth="1"/>
    <col min="4" max="4" width="7" bestFit="1" customWidth="1"/>
    <col min="6" max="6" width="10.36328125" bestFit="1" customWidth="1"/>
    <col min="7" max="7" width="8.81640625" bestFit="1" customWidth="1"/>
    <col min="8" max="8" width="7.6328125" bestFit="1" customWidth="1"/>
  </cols>
  <sheetData>
    <row r="5" spans="2:13">
      <c r="B5" s="134" t="s">
        <v>279</v>
      </c>
      <c r="C5" s="134"/>
      <c r="D5" s="134"/>
      <c r="F5" s="134" t="s">
        <v>240</v>
      </c>
      <c r="G5" s="134"/>
      <c r="H5" s="134"/>
      <c r="K5" s="32" t="s">
        <v>241</v>
      </c>
      <c r="L5" s="27"/>
      <c r="M5" s="27"/>
    </row>
    <row r="6" spans="2:13" ht="16.5">
      <c r="B6" s="2" t="s">
        <v>236</v>
      </c>
      <c r="C6" s="2" t="s">
        <v>237</v>
      </c>
      <c r="D6" s="2" t="s">
        <v>238</v>
      </c>
      <c r="F6" s="2" t="s">
        <v>236</v>
      </c>
      <c r="G6" s="2" t="s">
        <v>237</v>
      </c>
      <c r="H6" s="2" t="s">
        <v>238</v>
      </c>
      <c r="K6" s="27" t="s">
        <v>242</v>
      </c>
      <c r="L6" s="27"/>
      <c r="M6" s="27">
        <f>SLOPE(D8:D67,H8:H67)</f>
        <v>0.43974847414150631</v>
      </c>
    </row>
    <row r="7" spans="2:13" ht="16.5">
      <c r="B7" s="25">
        <v>43678</v>
      </c>
      <c r="C7" s="26">
        <v>428.77886999999998</v>
      </c>
      <c r="D7" s="27"/>
      <c r="F7" s="25">
        <v>43678</v>
      </c>
      <c r="G7" s="26">
        <v>11023.25</v>
      </c>
      <c r="H7" s="27"/>
      <c r="K7" s="27" t="s">
        <v>268</v>
      </c>
      <c r="L7" s="27"/>
      <c r="M7" s="27">
        <f>L31</f>
        <v>0.43974847414150586</v>
      </c>
    </row>
    <row r="8" spans="2:13" ht="15" thickBot="1">
      <c r="B8" s="25">
        <v>43709</v>
      </c>
      <c r="C8" s="26">
        <v>428.78164700000002</v>
      </c>
      <c r="D8" s="28">
        <f>(C8/C7)-1</f>
        <v>6.4765318310566755E-6</v>
      </c>
      <c r="F8" s="25">
        <v>43709</v>
      </c>
      <c r="G8" s="26">
        <v>11474.450194999999</v>
      </c>
      <c r="H8" s="28">
        <f>(G8/G7)-1</f>
        <v>4.0931684847935079E-2</v>
      </c>
      <c r="K8" s="33" t="s">
        <v>269</v>
      </c>
      <c r="L8" s="34"/>
      <c r="M8" s="33">
        <f>0.33+0.67*M7</f>
        <v>0.62463147767480898</v>
      </c>
    </row>
    <row r="9" spans="2:13">
      <c r="B9" s="25">
        <v>43739</v>
      </c>
      <c r="C9" s="26">
        <v>442.87469499999997</v>
      </c>
      <c r="D9" s="28">
        <f t="shared" ref="D9:D67" si="0">(C9/C8)-1</f>
        <v>3.2867656763303499E-2</v>
      </c>
      <c r="F9" s="25">
        <v>43739</v>
      </c>
      <c r="G9" s="26">
        <v>11877.450194999999</v>
      </c>
      <c r="H9" s="28">
        <f t="shared" ref="H9:H67" si="1">(G9/G8)-1</f>
        <v>3.5121508495074449E-2</v>
      </c>
    </row>
    <row r="10" spans="2:13">
      <c r="B10" s="25">
        <v>43770</v>
      </c>
      <c r="C10" s="26">
        <v>440.14239500000002</v>
      </c>
      <c r="D10" s="28">
        <f t="shared" si="0"/>
        <v>-6.1694651576332804E-3</v>
      </c>
      <c r="F10" s="25">
        <v>43770</v>
      </c>
      <c r="G10" s="26">
        <v>12056.049805000001</v>
      </c>
      <c r="H10" s="28">
        <f t="shared" si="1"/>
        <v>1.5036864568389152E-2</v>
      </c>
    </row>
    <row r="11" spans="2:13">
      <c r="B11" s="25">
        <v>43800</v>
      </c>
      <c r="C11" s="26">
        <v>440.763733</v>
      </c>
      <c r="D11" s="28">
        <f t="shared" si="0"/>
        <v>1.4116749648711568E-3</v>
      </c>
      <c r="F11" s="25">
        <v>43800</v>
      </c>
      <c r="G11" s="26">
        <v>12168.450194999999</v>
      </c>
      <c r="H11" s="28">
        <f t="shared" si="1"/>
        <v>9.3231524270398491E-3</v>
      </c>
    </row>
    <row r="12" spans="2:13">
      <c r="B12" s="25">
        <v>43831</v>
      </c>
      <c r="C12" s="26">
        <v>476.67672700000003</v>
      </c>
      <c r="D12" s="28">
        <f t="shared" si="0"/>
        <v>8.1479013156465996E-2</v>
      </c>
      <c r="F12" s="25">
        <v>43831</v>
      </c>
      <c r="G12" s="26">
        <v>11962.099609000001</v>
      </c>
      <c r="H12" s="28">
        <f t="shared" si="1"/>
        <v>-1.6957836264538284E-2</v>
      </c>
    </row>
    <row r="13" spans="2:13">
      <c r="B13" s="25">
        <v>43862</v>
      </c>
      <c r="C13" s="26">
        <v>477.013214</v>
      </c>
      <c r="D13" s="28">
        <f t="shared" si="0"/>
        <v>7.0590188473795834E-4</v>
      </c>
      <c r="F13" s="25">
        <v>43862</v>
      </c>
      <c r="G13" s="26">
        <v>11201.75</v>
      </c>
      <c r="H13" s="28">
        <f t="shared" si="1"/>
        <v>-6.35632233348008E-2</v>
      </c>
    </row>
    <row r="14" spans="2:13">
      <c r="B14" s="25">
        <v>43891</v>
      </c>
      <c r="C14" s="26">
        <v>432.73486300000002</v>
      </c>
      <c r="D14" s="28">
        <f t="shared" si="0"/>
        <v>-9.2824160212886642E-2</v>
      </c>
      <c r="F14" s="25">
        <v>43891</v>
      </c>
      <c r="G14" s="26">
        <v>8597.75</v>
      </c>
      <c r="H14" s="28">
        <f t="shared" si="1"/>
        <v>-0.23246367755038277</v>
      </c>
      <c r="K14" t="s">
        <v>243</v>
      </c>
    </row>
    <row r="15" spans="2:13" ht="15" thickBot="1">
      <c r="B15" s="25">
        <v>43922</v>
      </c>
      <c r="C15" s="26">
        <v>470.47488399999997</v>
      </c>
      <c r="D15" s="28">
        <f t="shared" si="0"/>
        <v>8.7212804483469464E-2</v>
      </c>
      <c r="F15" s="25">
        <v>43922</v>
      </c>
      <c r="G15" s="26">
        <v>9859.9003909999992</v>
      </c>
      <c r="H15" s="28">
        <f t="shared" si="1"/>
        <v>0.14680008036986414</v>
      </c>
    </row>
    <row r="16" spans="2:13">
      <c r="B16" s="25">
        <v>43952</v>
      </c>
      <c r="C16" s="26">
        <v>448.50402800000001</v>
      </c>
      <c r="D16" s="28">
        <f t="shared" si="0"/>
        <v>-4.6699317534663498E-2</v>
      </c>
      <c r="F16" s="25">
        <v>43952</v>
      </c>
      <c r="G16" s="26">
        <v>9580.2998050000006</v>
      </c>
      <c r="H16" s="28">
        <f t="shared" si="1"/>
        <v>-2.8357343878972152E-2</v>
      </c>
      <c r="K16" s="31" t="s">
        <v>244</v>
      </c>
      <c r="L16" s="31"/>
    </row>
    <row r="17" spans="2:19">
      <c r="B17" s="25">
        <v>43983</v>
      </c>
      <c r="C17" s="26">
        <v>448.02331500000003</v>
      </c>
      <c r="D17" s="28">
        <f t="shared" si="0"/>
        <v>-1.0718142312871048E-3</v>
      </c>
      <c r="F17" s="25">
        <v>43983</v>
      </c>
      <c r="G17" s="26">
        <v>10302.099609000001</v>
      </c>
      <c r="H17" s="28">
        <f t="shared" si="1"/>
        <v>7.5342089359592856E-2</v>
      </c>
      <c r="K17" t="s">
        <v>245</v>
      </c>
      <c r="L17">
        <v>0.4533196752595261</v>
      </c>
    </row>
    <row r="18" spans="2:19">
      <c r="B18" s="25">
        <v>44013</v>
      </c>
      <c r="C18" s="26">
        <v>493.791901</v>
      </c>
      <c r="D18" s="28">
        <f t="shared" si="0"/>
        <v>0.10215670584018599</v>
      </c>
      <c r="F18" s="25">
        <v>44013</v>
      </c>
      <c r="G18" s="26">
        <v>11073.450194999999</v>
      </c>
      <c r="H18" s="28">
        <f t="shared" si="1"/>
        <v>7.4873143851777568E-2</v>
      </c>
      <c r="K18" t="s">
        <v>246</v>
      </c>
      <c r="L18">
        <v>0.20549872797740218</v>
      </c>
    </row>
    <row r="19" spans="2:19">
      <c r="B19" s="25">
        <v>44044</v>
      </c>
      <c r="C19" s="26">
        <v>456.340485</v>
      </c>
      <c r="D19" s="28">
        <f t="shared" si="0"/>
        <v>-7.5844532735663495E-2</v>
      </c>
      <c r="F19" s="25">
        <v>44044</v>
      </c>
      <c r="G19" s="26">
        <v>11387.5</v>
      </c>
      <c r="H19" s="28">
        <f t="shared" si="1"/>
        <v>2.8360610240682149E-2</v>
      </c>
      <c r="K19" t="s">
        <v>247</v>
      </c>
      <c r="L19">
        <v>0.1918004301839091</v>
      </c>
    </row>
    <row r="20" spans="2:19">
      <c r="B20" s="25">
        <v>44075</v>
      </c>
      <c r="C20" s="26">
        <v>492.47189300000002</v>
      </c>
      <c r="D20" s="28">
        <f t="shared" si="0"/>
        <v>7.9176424594456174E-2</v>
      </c>
      <c r="F20" s="25">
        <v>44075</v>
      </c>
      <c r="G20" s="26">
        <v>11247.549805000001</v>
      </c>
      <c r="H20" s="28">
        <f t="shared" si="1"/>
        <v>-1.2289808562019666E-2</v>
      </c>
      <c r="K20" t="s">
        <v>248</v>
      </c>
      <c r="L20">
        <v>4.6483587077164927E-2</v>
      </c>
    </row>
    <row r="21" spans="2:19" ht="15" thickBot="1">
      <c r="B21" s="25">
        <v>44105</v>
      </c>
      <c r="C21" s="26">
        <v>493.340057</v>
      </c>
      <c r="D21" s="28">
        <f t="shared" si="0"/>
        <v>1.7628701502361288E-3</v>
      </c>
      <c r="F21" s="25">
        <v>44105</v>
      </c>
      <c r="G21" s="26">
        <v>11642.400390999999</v>
      </c>
      <c r="H21" s="28">
        <f t="shared" si="1"/>
        <v>3.5105475667640107E-2</v>
      </c>
      <c r="K21" s="29" t="s">
        <v>249</v>
      </c>
      <c r="L21" s="29">
        <v>60</v>
      </c>
    </row>
    <row r="22" spans="2:19">
      <c r="B22" s="25">
        <v>44136</v>
      </c>
      <c r="C22" s="26">
        <v>482.10253899999998</v>
      </c>
      <c r="D22" s="28">
        <f t="shared" si="0"/>
        <v>-2.2778442254081988E-2</v>
      </c>
      <c r="F22" s="25">
        <v>44136</v>
      </c>
      <c r="G22" s="26">
        <v>12968.950194999999</v>
      </c>
      <c r="H22" s="28">
        <f t="shared" si="1"/>
        <v>0.1139412629225045</v>
      </c>
    </row>
    <row r="23" spans="2:19" ht="15" thickBot="1">
      <c r="B23" s="25">
        <v>44166</v>
      </c>
      <c r="C23" s="26">
        <v>516.84783900000002</v>
      </c>
      <c r="D23" s="28">
        <f t="shared" si="0"/>
        <v>7.2070352651679492E-2</v>
      </c>
      <c r="F23" s="25">
        <v>44166</v>
      </c>
      <c r="G23" s="26">
        <v>13981.75</v>
      </c>
      <c r="H23" s="28">
        <f t="shared" si="1"/>
        <v>7.8094201132060226E-2</v>
      </c>
      <c r="K23" t="s">
        <v>250</v>
      </c>
    </row>
    <row r="24" spans="2:19">
      <c r="B24" s="25">
        <v>44197</v>
      </c>
      <c r="C24" s="26">
        <v>498.02255200000002</v>
      </c>
      <c r="D24" s="28">
        <f t="shared" si="0"/>
        <v>-3.6423267312916008E-2</v>
      </c>
      <c r="F24" s="25">
        <v>44197</v>
      </c>
      <c r="G24" s="26">
        <v>13634.599609000001</v>
      </c>
      <c r="H24" s="28">
        <f t="shared" si="1"/>
        <v>-2.4828822643803483E-2</v>
      </c>
      <c r="K24" s="30"/>
      <c r="L24" s="30" t="s">
        <v>255</v>
      </c>
      <c r="M24" s="30" t="s">
        <v>256</v>
      </c>
      <c r="N24" s="30" t="s">
        <v>257</v>
      </c>
      <c r="O24" s="30" t="s">
        <v>258</v>
      </c>
      <c r="P24" s="30" t="s">
        <v>259</v>
      </c>
    </row>
    <row r="25" spans="2:19">
      <c r="B25" s="25">
        <v>44228</v>
      </c>
      <c r="C25" s="26">
        <v>486.94036899999998</v>
      </c>
      <c r="D25" s="28">
        <f t="shared" si="0"/>
        <v>-2.2252371816286809E-2</v>
      </c>
      <c r="F25" s="25">
        <v>44228</v>
      </c>
      <c r="G25" s="26">
        <v>14529.150390999999</v>
      </c>
      <c r="H25" s="28">
        <f t="shared" si="1"/>
        <v>6.5608877976109925E-2</v>
      </c>
      <c r="K25" t="s">
        <v>251</v>
      </c>
      <c r="L25">
        <v>1</v>
      </c>
      <c r="M25">
        <v>3.2414684874568139E-2</v>
      </c>
      <c r="N25">
        <v>3.2414684874568139E-2</v>
      </c>
      <c r="O25">
        <v>15.001771101444279</v>
      </c>
      <c r="P25">
        <v>2.7549749667009755E-4</v>
      </c>
    </row>
    <row r="26" spans="2:19">
      <c r="B26" s="25">
        <v>44256</v>
      </c>
      <c r="C26" s="26">
        <v>523.13903800000003</v>
      </c>
      <c r="D26" s="28">
        <f t="shared" si="0"/>
        <v>7.4339018295688009E-2</v>
      </c>
      <c r="F26" s="25">
        <v>44256</v>
      </c>
      <c r="G26" s="26">
        <v>14690.700194999999</v>
      </c>
      <c r="H26" s="28">
        <f t="shared" si="1"/>
        <v>1.1119012444118725E-2</v>
      </c>
      <c r="K26" t="s">
        <v>252</v>
      </c>
      <c r="L26">
        <v>58</v>
      </c>
      <c r="M26">
        <v>0.12532198431850172</v>
      </c>
      <c r="N26">
        <v>2.1607238675603745E-3</v>
      </c>
    </row>
    <row r="27" spans="2:19" ht="15" thickBot="1">
      <c r="B27" s="25">
        <v>44287</v>
      </c>
      <c r="C27" s="26">
        <v>520.76776099999995</v>
      </c>
      <c r="D27" s="28">
        <f t="shared" si="0"/>
        <v>-4.532785412202589E-3</v>
      </c>
      <c r="F27" s="25">
        <v>44287</v>
      </c>
      <c r="G27" s="26">
        <v>14631.099609000001</v>
      </c>
      <c r="H27" s="28">
        <f t="shared" si="1"/>
        <v>-4.057028270189833E-3</v>
      </c>
      <c r="K27" s="29" t="s">
        <v>253</v>
      </c>
      <c r="L27" s="29">
        <v>59</v>
      </c>
      <c r="M27" s="29">
        <v>0.15773666919306986</v>
      </c>
      <c r="N27" s="29"/>
      <c r="O27" s="29"/>
      <c r="P27" s="29"/>
    </row>
    <row r="28" spans="2:19" ht="15" thickBot="1">
      <c r="B28" s="25">
        <v>44317</v>
      </c>
      <c r="C28" s="26">
        <v>523.09069799999997</v>
      </c>
      <c r="D28" s="28">
        <f t="shared" si="0"/>
        <v>4.4606006246228347E-3</v>
      </c>
      <c r="F28" s="25">
        <v>44317</v>
      </c>
      <c r="G28" s="26">
        <v>15582.799805000001</v>
      </c>
      <c r="H28" s="28">
        <f t="shared" si="1"/>
        <v>6.504638895456516E-2</v>
      </c>
    </row>
    <row r="29" spans="2:19">
      <c r="B29" s="25">
        <v>44348</v>
      </c>
      <c r="C29" s="26">
        <v>550.481628</v>
      </c>
      <c r="D29" s="28">
        <f t="shared" si="0"/>
        <v>5.236363426978774E-2</v>
      </c>
      <c r="F29" s="25">
        <v>44348</v>
      </c>
      <c r="G29" s="26">
        <v>15721.5</v>
      </c>
      <c r="H29" s="28">
        <f t="shared" si="1"/>
        <v>8.9008520121971468E-3</v>
      </c>
      <c r="K29" s="30"/>
      <c r="L29" s="30" t="s">
        <v>260</v>
      </c>
      <c r="M29" s="30" t="s">
        <v>248</v>
      </c>
      <c r="N29" s="30" t="s">
        <v>261</v>
      </c>
      <c r="O29" s="30" t="s">
        <v>262</v>
      </c>
      <c r="P29" s="30" t="s">
        <v>263</v>
      </c>
      <c r="Q29" s="30" t="s">
        <v>264</v>
      </c>
      <c r="R29" s="30" t="s">
        <v>265</v>
      </c>
      <c r="S29" s="30" t="s">
        <v>266</v>
      </c>
    </row>
    <row r="30" spans="2:19">
      <c r="B30" s="25">
        <v>44378</v>
      </c>
      <c r="C30" s="26">
        <v>581.40545699999996</v>
      </c>
      <c r="D30" s="28">
        <f t="shared" si="0"/>
        <v>5.6175951070977392E-2</v>
      </c>
      <c r="F30" s="25">
        <v>44378</v>
      </c>
      <c r="G30" s="26">
        <v>15763.049805000001</v>
      </c>
      <c r="H30" s="28">
        <f t="shared" si="1"/>
        <v>2.6428651846197582E-3</v>
      </c>
      <c r="K30" t="s">
        <v>254</v>
      </c>
      <c r="L30">
        <v>1.3724523015610883E-3</v>
      </c>
      <c r="M30">
        <v>6.2407260348857439E-3</v>
      </c>
      <c r="N30">
        <v>0.21991869117295987</v>
      </c>
      <c r="O30">
        <v>0.8267066871659956</v>
      </c>
      <c r="P30">
        <v>-1.1119718116230073E-2</v>
      </c>
      <c r="Q30">
        <v>1.386462271935225E-2</v>
      </c>
      <c r="R30">
        <v>-1.1119718116230073E-2</v>
      </c>
      <c r="S30">
        <v>1.386462271935225E-2</v>
      </c>
    </row>
    <row r="31" spans="2:19" ht="15" thickBot="1">
      <c r="B31" s="25">
        <v>44409</v>
      </c>
      <c r="C31" s="26">
        <v>604.61114499999996</v>
      </c>
      <c r="D31" s="28">
        <f t="shared" si="0"/>
        <v>3.9913089429430615E-2</v>
      </c>
      <c r="F31" s="25">
        <v>44409</v>
      </c>
      <c r="G31" s="26">
        <v>17132.199218999998</v>
      </c>
      <c r="H31" s="28">
        <f t="shared" si="1"/>
        <v>8.6858154414110045E-2</v>
      </c>
      <c r="K31" s="29" t="s">
        <v>267</v>
      </c>
      <c r="L31" s="29">
        <v>0.43974847414150586</v>
      </c>
      <c r="M31" s="29">
        <v>0.11353586520469383</v>
      </c>
      <c r="N31" s="29">
        <v>3.8732119876717657</v>
      </c>
      <c r="O31" s="29">
        <v>2.7549749667009907E-4</v>
      </c>
      <c r="P31" s="29">
        <v>0.21248174768371358</v>
      </c>
      <c r="Q31" s="29">
        <v>0.6670152005992982</v>
      </c>
      <c r="R31" s="29">
        <v>0.21248174768371358</v>
      </c>
      <c r="S31" s="29">
        <v>0.6670152005992982</v>
      </c>
    </row>
    <row r="32" spans="2:19">
      <c r="B32" s="25">
        <v>44440</v>
      </c>
      <c r="C32" s="26">
        <v>600.282104</v>
      </c>
      <c r="D32" s="28">
        <f t="shared" si="0"/>
        <v>-7.1600416826586022E-3</v>
      </c>
      <c r="F32" s="25">
        <v>44440</v>
      </c>
      <c r="G32" s="26">
        <v>17618.150390999999</v>
      </c>
      <c r="H32" s="28">
        <f t="shared" si="1"/>
        <v>2.8364786434485811E-2</v>
      </c>
    </row>
    <row r="33" spans="2:8">
      <c r="B33" s="25">
        <v>44470</v>
      </c>
      <c r="C33" s="26">
        <v>569.92987100000005</v>
      </c>
      <c r="D33" s="28">
        <f t="shared" si="0"/>
        <v>-5.0563281493395951E-2</v>
      </c>
      <c r="F33" s="25">
        <v>44470</v>
      </c>
      <c r="G33" s="26">
        <v>17671.650390999999</v>
      </c>
      <c r="H33" s="28">
        <f t="shared" si="1"/>
        <v>3.0366411236522062E-3</v>
      </c>
    </row>
    <row r="34" spans="2:8">
      <c r="B34" s="25">
        <v>44501</v>
      </c>
      <c r="C34" s="26">
        <v>578.78253199999995</v>
      </c>
      <c r="D34" s="28">
        <f t="shared" si="0"/>
        <v>1.5532895274408043E-2</v>
      </c>
      <c r="F34" s="25">
        <v>44501</v>
      </c>
      <c r="G34" s="26">
        <v>16983.199218999998</v>
      </c>
      <c r="H34" s="28">
        <f t="shared" si="1"/>
        <v>-3.8957944321409976E-2</v>
      </c>
    </row>
    <row r="35" spans="2:8">
      <c r="B35" s="25">
        <v>44531</v>
      </c>
      <c r="C35" s="26">
        <v>566.62792999999999</v>
      </c>
      <c r="D35" s="28">
        <f t="shared" si="0"/>
        <v>-2.1000291695050577E-2</v>
      </c>
      <c r="F35" s="25">
        <v>44531</v>
      </c>
      <c r="G35" s="26">
        <v>17354.050781000002</v>
      </c>
      <c r="H35" s="28">
        <f t="shared" si="1"/>
        <v>2.1836378247575006E-2</v>
      </c>
    </row>
    <row r="36" spans="2:8">
      <c r="B36" s="25">
        <v>44562</v>
      </c>
      <c r="C36" s="26">
        <v>524.32989499999996</v>
      </c>
      <c r="D36" s="28">
        <f t="shared" si="0"/>
        <v>-7.4648694073375488E-2</v>
      </c>
      <c r="F36" s="25">
        <v>44562</v>
      </c>
      <c r="G36" s="26">
        <v>17339.849609000001</v>
      </c>
      <c r="H36" s="28">
        <f t="shared" si="1"/>
        <v>-8.183202976188575E-4</v>
      </c>
    </row>
    <row r="37" spans="2:8">
      <c r="B37" s="25">
        <v>44593</v>
      </c>
      <c r="C37" s="26">
        <v>550.31433100000004</v>
      </c>
      <c r="D37" s="28">
        <f t="shared" si="0"/>
        <v>4.9557418426428024E-2</v>
      </c>
      <c r="F37" s="25">
        <v>44593</v>
      </c>
      <c r="G37" s="26">
        <v>16793.900390999999</v>
      </c>
      <c r="H37" s="28">
        <f t="shared" si="1"/>
        <v>-3.1485233742548413E-2</v>
      </c>
    </row>
    <row r="38" spans="2:8">
      <c r="B38" s="25">
        <v>44621</v>
      </c>
      <c r="C38" s="26">
        <v>523.79260299999999</v>
      </c>
      <c r="D38" s="28">
        <f t="shared" si="0"/>
        <v>-4.8193780365134775E-2</v>
      </c>
      <c r="F38" s="25">
        <v>44621</v>
      </c>
      <c r="G38" s="26">
        <v>17464.75</v>
      </c>
      <c r="H38" s="28">
        <f t="shared" si="1"/>
        <v>3.9946027627954406E-2</v>
      </c>
    </row>
    <row r="39" spans="2:8">
      <c r="B39" s="25">
        <v>44652</v>
      </c>
      <c r="C39" s="26">
        <v>543.81823699999995</v>
      </c>
      <c r="D39" s="28">
        <f t="shared" si="0"/>
        <v>3.8231990840084329E-2</v>
      </c>
      <c r="F39" s="25">
        <v>44652</v>
      </c>
      <c r="G39" s="26">
        <v>17102.550781000002</v>
      </c>
      <c r="H39" s="28">
        <f t="shared" si="1"/>
        <v>-2.0738872242660134E-2</v>
      </c>
    </row>
    <row r="40" spans="2:8">
      <c r="B40" s="25">
        <v>44682</v>
      </c>
      <c r="C40" s="26">
        <v>506.99066199999999</v>
      </c>
      <c r="D40" s="28">
        <f t="shared" si="0"/>
        <v>-6.772037510761153E-2</v>
      </c>
      <c r="F40" s="25">
        <v>44682</v>
      </c>
      <c r="G40" s="26">
        <v>16584.550781000002</v>
      </c>
      <c r="H40" s="28">
        <f t="shared" si="1"/>
        <v>-3.0287879663861039E-2</v>
      </c>
    </row>
    <row r="41" spans="2:8">
      <c r="B41" s="25">
        <v>44713</v>
      </c>
      <c r="C41" s="26">
        <v>484.47399899999999</v>
      </c>
      <c r="D41" s="28">
        <f t="shared" si="0"/>
        <v>-4.4412382096299829E-2</v>
      </c>
      <c r="F41" s="25">
        <v>44713</v>
      </c>
      <c r="G41" s="26">
        <v>15780.25</v>
      </c>
      <c r="H41" s="28">
        <f t="shared" si="1"/>
        <v>-4.8496989253483114E-2</v>
      </c>
    </row>
    <row r="42" spans="2:8">
      <c r="B42" s="25">
        <v>44743</v>
      </c>
      <c r="C42" s="26">
        <v>570.58422900000005</v>
      </c>
      <c r="D42" s="28">
        <f t="shared" si="0"/>
        <v>0.17773963138938242</v>
      </c>
      <c r="F42" s="25">
        <v>44743</v>
      </c>
      <c r="G42" s="26">
        <v>17158.25</v>
      </c>
      <c r="H42" s="28">
        <f t="shared" si="1"/>
        <v>8.7324345305048956E-2</v>
      </c>
    </row>
    <row r="43" spans="2:8">
      <c r="B43" s="25">
        <v>44774</v>
      </c>
      <c r="C43" s="26">
        <v>572.86651600000005</v>
      </c>
      <c r="D43" s="28">
        <f t="shared" si="0"/>
        <v>3.9999125177363481E-3</v>
      </c>
      <c r="F43" s="25">
        <v>44774</v>
      </c>
      <c r="G43" s="26">
        <v>17759.300781000002</v>
      </c>
      <c r="H43" s="28">
        <f t="shared" si="1"/>
        <v>3.5029841679658613E-2</v>
      </c>
    </row>
    <row r="44" spans="2:8">
      <c r="B44" s="25">
        <v>44805</v>
      </c>
      <c r="C44" s="26">
        <v>562.41247599999997</v>
      </c>
      <c r="D44" s="28">
        <f t="shared" si="0"/>
        <v>-1.8248649044797838E-2</v>
      </c>
      <c r="F44" s="25">
        <v>44805</v>
      </c>
      <c r="G44" s="26">
        <v>17094.349609000001</v>
      </c>
      <c r="H44" s="28">
        <f t="shared" si="1"/>
        <v>-3.7442418493829788E-2</v>
      </c>
    </row>
    <row r="45" spans="2:8">
      <c r="B45" s="25">
        <v>44835</v>
      </c>
      <c r="C45" s="26">
        <v>544.498108</v>
      </c>
      <c r="D45" s="28">
        <f t="shared" si="0"/>
        <v>-3.185272156018093E-2</v>
      </c>
      <c r="F45" s="25">
        <v>44835</v>
      </c>
      <c r="G45" s="26">
        <v>18012.199218999998</v>
      </c>
      <c r="H45" s="28">
        <f t="shared" si="1"/>
        <v>5.3693157738903263E-2</v>
      </c>
    </row>
    <row r="46" spans="2:8">
      <c r="B46" s="25">
        <v>44866</v>
      </c>
      <c r="C46" s="26">
        <v>577.52917500000001</v>
      </c>
      <c r="D46" s="28">
        <f t="shared" si="0"/>
        <v>6.0663327410496626E-2</v>
      </c>
      <c r="F46" s="25">
        <v>44866</v>
      </c>
      <c r="G46" s="26">
        <v>18758.349609000001</v>
      </c>
      <c r="H46" s="28">
        <f t="shared" si="1"/>
        <v>4.1424724484111497E-2</v>
      </c>
    </row>
    <row r="47" spans="2:8">
      <c r="B47" s="25">
        <v>44896</v>
      </c>
      <c r="C47" s="26">
        <v>553.58538799999997</v>
      </c>
      <c r="D47" s="28">
        <f t="shared" si="0"/>
        <v>-4.1459008542728659E-2</v>
      </c>
      <c r="F47" s="25">
        <v>44896</v>
      </c>
      <c r="G47" s="26">
        <v>18105.300781000002</v>
      </c>
      <c r="H47" s="28">
        <f t="shared" si="1"/>
        <v>-3.4813767821379904E-2</v>
      </c>
    </row>
    <row r="48" spans="2:8">
      <c r="B48" s="25">
        <v>44927</v>
      </c>
      <c r="C48" s="26">
        <v>549.93719499999997</v>
      </c>
      <c r="D48" s="28">
        <f t="shared" si="0"/>
        <v>-6.5901179458154324E-3</v>
      </c>
      <c r="F48" s="25">
        <v>44927</v>
      </c>
      <c r="G48" s="26">
        <v>17662.150390999999</v>
      </c>
      <c r="H48" s="28">
        <f t="shared" si="1"/>
        <v>-2.4476278818027275E-2</v>
      </c>
    </row>
    <row r="49" spans="2:8">
      <c r="B49" s="25">
        <v>44958</v>
      </c>
      <c r="C49" s="26">
        <v>525.13952600000005</v>
      </c>
      <c r="D49" s="28">
        <f t="shared" si="0"/>
        <v>-4.5091819985007442E-2</v>
      </c>
      <c r="F49" s="25">
        <v>44958</v>
      </c>
      <c r="G49" s="26">
        <v>17303.949218999998</v>
      </c>
      <c r="H49" s="28">
        <f t="shared" si="1"/>
        <v>-2.0280722566065723E-2</v>
      </c>
    </row>
    <row r="50" spans="2:8">
      <c r="B50" s="25">
        <v>44986</v>
      </c>
      <c r="C50" s="26">
        <v>537.26727300000005</v>
      </c>
      <c r="D50" s="28">
        <f t="shared" si="0"/>
        <v>2.3094332838316856E-2</v>
      </c>
      <c r="F50" s="25">
        <v>44986</v>
      </c>
      <c r="G50" s="26">
        <v>17359.75</v>
      </c>
      <c r="H50" s="28">
        <f t="shared" si="1"/>
        <v>3.2247425309555044E-3</v>
      </c>
    </row>
    <row r="51" spans="2:8">
      <c r="B51" s="25">
        <v>45017</v>
      </c>
      <c r="C51" s="26">
        <v>525.43536400000005</v>
      </c>
      <c r="D51" s="28">
        <f t="shared" si="0"/>
        <v>-2.2022389217814853E-2</v>
      </c>
      <c r="F51" s="25">
        <v>45017</v>
      </c>
      <c r="G51" s="26">
        <v>18065</v>
      </c>
      <c r="H51" s="28">
        <f t="shared" si="1"/>
        <v>4.0625585045867663E-2</v>
      </c>
    </row>
    <row r="52" spans="2:8">
      <c r="B52" s="25">
        <v>45047</v>
      </c>
      <c r="C52" s="26">
        <v>547.62017800000001</v>
      </c>
      <c r="D52" s="28">
        <f t="shared" si="0"/>
        <v>4.2221775540787432E-2</v>
      </c>
      <c r="F52" s="25">
        <v>45047</v>
      </c>
      <c r="G52" s="26">
        <v>18534.400390999999</v>
      </c>
      <c r="H52" s="28">
        <f t="shared" si="1"/>
        <v>2.5983968502629295E-2</v>
      </c>
    </row>
    <row r="53" spans="2:8">
      <c r="B53" s="25">
        <v>45078</v>
      </c>
      <c r="C53" s="26">
        <v>564.92437700000005</v>
      </c>
      <c r="D53" s="28">
        <f t="shared" si="0"/>
        <v>3.1598906861317388E-2</v>
      </c>
      <c r="F53" s="25">
        <v>45078</v>
      </c>
      <c r="G53" s="26">
        <v>19189.050781000002</v>
      </c>
      <c r="H53" s="28">
        <f t="shared" si="1"/>
        <v>3.5320829171138879E-2</v>
      </c>
    </row>
    <row r="54" spans="2:8">
      <c r="B54" s="25">
        <v>45108</v>
      </c>
      <c r="C54" s="26">
        <v>567.53716999999995</v>
      </c>
      <c r="D54" s="28">
        <f t="shared" si="0"/>
        <v>4.6250314314191243E-3</v>
      </c>
      <c r="F54" s="25">
        <v>45108</v>
      </c>
      <c r="G54" s="26">
        <v>19753.800781000002</v>
      </c>
      <c r="H54" s="28">
        <f t="shared" si="1"/>
        <v>2.9430846082245221E-2</v>
      </c>
    </row>
    <row r="55" spans="2:8">
      <c r="B55" s="25">
        <v>45139</v>
      </c>
      <c r="C55" s="26">
        <v>547.90960700000005</v>
      </c>
      <c r="D55" s="28">
        <f t="shared" si="0"/>
        <v>-3.4583748937536352E-2</v>
      </c>
      <c r="F55" s="25">
        <v>45139</v>
      </c>
      <c r="G55" s="26">
        <v>19253.800781000002</v>
      </c>
      <c r="H55" s="28">
        <f t="shared" si="1"/>
        <v>-2.5311584618233018E-2</v>
      </c>
    </row>
    <row r="56" spans="2:8">
      <c r="B56" s="25">
        <v>45170</v>
      </c>
      <c r="C56" s="26">
        <v>546.42364499999996</v>
      </c>
      <c r="D56" s="28">
        <f t="shared" si="0"/>
        <v>-2.7120568448073534E-3</v>
      </c>
      <c r="F56" s="25">
        <v>45170</v>
      </c>
      <c r="G56" s="26">
        <v>19638.300781000002</v>
      </c>
      <c r="H56" s="28">
        <f t="shared" si="1"/>
        <v>1.9970083017553097E-2</v>
      </c>
    </row>
    <row r="57" spans="2:8">
      <c r="B57" s="25">
        <v>45200</v>
      </c>
      <c r="C57" s="26">
        <v>523.93670699999996</v>
      </c>
      <c r="D57" s="28">
        <f t="shared" si="0"/>
        <v>-4.1152937296481729E-2</v>
      </c>
      <c r="F57" s="25">
        <v>45200</v>
      </c>
      <c r="G57" s="26">
        <v>19079.599609000001</v>
      </c>
      <c r="H57" s="28">
        <f t="shared" si="1"/>
        <v>-2.8449567924967445E-2</v>
      </c>
    </row>
    <row r="58" spans="2:8">
      <c r="B58" s="25">
        <v>45231</v>
      </c>
      <c r="C58" s="26">
        <v>533.000854</v>
      </c>
      <c r="D58" s="28">
        <f t="shared" si="0"/>
        <v>1.7300080102996107E-2</v>
      </c>
      <c r="F58" s="25">
        <v>45231</v>
      </c>
      <c r="G58" s="26">
        <v>20133.150390999999</v>
      </c>
      <c r="H58" s="28">
        <f t="shared" si="1"/>
        <v>5.5218704982835654E-2</v>
      </c>
    </row>
    <row r="59" spans="2:8">
      <c r="B59" s="25">
        <v>45261</v>
      </c>
      <c r="C59" s="26">
        <v>554.82379200000003</v>
      </c>
      <c r="D59" s="28">
        <f t="shared" si="0"/>
        <v>4.094353289722874E-2</v>
      </c>
      <c r="F59" s="25">
        <v>45261</v>
      </c>
      <c r="G59" s="26">
        <v>21731.400390999999</v>
      </c>
      <c r="H59" s="28">
        <f t="shared" si="1"/>
        <v>7.9383999471560829E-2</v>
      </c>
    </row>
    <row r="60" spans="2:8">
      <c r="B60" s="25">
        <v>45292</v>
      </c>
      <c r="C60" s="26">
        <v>537.29882799999996</v>
      </c>
      <c r="D60" s="28">
        <f t="shared" si="0"/>
        <v>-3.1586540182112599E-2</v>
      </c>
      <c r="F60" s="25">
        <v>45292</v>
      </c>
      <c r="G60" s="26">
        <v>21725.699218999998</v>
      </c>
      <c r="H60" s="28">
        <f t="shared" si="1"/>
        <v>-2.6234719794504535E-4</v>
      </c>
    </row>
    <row r="61" spans="2:8">
      <c r="B61" s="25">
        <v>45323</v>
      </c>
      <c r="C61" s="26">
        <v>535.85504200000003</v>
      </c>
      <c r="D61" s="28">
        <f t="shared" si="0"/>
        <v>-2.687119205850852E-3</v>
      </c>
      <c r="F61" s="25">
        <v>45323</v>
      </c>
      <c r="G61" s="26">
        <v>21982.800781000002</v>
      </c>
      <c r="H61" s="28">
        <f t="shared" si="1"/>
        <v>1.1833983312037999E-2</v>
      </c>
    </row>
    <row r="62" spans="2:8">
      <c r="B62" s="25">
        <v>45352</v>
      </c>
      <c r="C62" s="26">
        <v>520.91900599999997</v>
      </c>
      <c r="D62" s="28">
        <f t="shared" si="0"/>
        <v>-2.787327696731845E-2</v>
      </c>
      <c r="F62" s="25">
        <v>45352</v>
      </c>
      <c r="G62" s="26">
        <v>22326.900390999999</v>
      </c>
      <c r="H62" s="28">
        <f t="shared" si="1"/>
        <v>1.5653128708576824E-2</v>
      </c>
    </row>
    <row r="63" spans="2:8">
      <c r="B63" s="25">
        <v>45383</v>
      </c>
      <c r="C63" s="26">
        <v>505.58468599999998</v>
      </c>
      <c r="D63" s="28">
        <f t="shared" si="0"/>
        <v>-2.9437052254530305E-2</v>
      </c>
      <c r="F63" s="25">
        <v>45383</v>
      </c>
      <c r="G63" s="26">
        <v>22604.849609000001</v>
      </c>
      <c r="H63" s="28">
        <f t="shared" si="1"/>
        <v>1.2449073231501684E-2</v>
      </c>
    </row>
    <row r="64" spans="2:8">
      <c r="B64" s="25">
        <v>45413</v>
      </c>
      <c r="C64" s="26">
        <v>542.77539100000001</v>
      </c>
      <c r="D64" s="28">
        <f t="shared" si="0"/>
        <v>7.3559793304340815E-2</v>
      </c>
      <c r="F64" s="25">
        <v>45413</v>
      </c>
      <c r="G64" s="26">
        <v>22530.699218999998</v>
      </c>
      <c r="H64" s="28">
        <f t="shared" si="1"/>
        <v>-3.2802868093614324E-3</v>
      </c>
    </row>
    <row r="65" spans="2:8">
      <c r="B65" s="25">
        <v>45444</v>
      </c>
      <c r="C65" s="26">
        <v>598.13830600000006</v>
      </c>
      <c r="D65" s="28">
        <f t="shared" si="0"/>
        <v>0.10199967780042574</v>
      </c>
      <c r="F65" s="25">
        <v>45444</v>
      </c>
      <c r="G65" s="26">
        <v>24010.599609000001</v>
      </c>
      <c r="H65" s="28">
        <f t="shared" si="1"/>
        <v>6.5683731144571489E-2</v>
      </c>
    </row>
    <row r="66" spans="2:8">
      <c r="B66" s="25">
        <v>45474</v>
      </c>
      <c r="C66" s="26">
        <v>629.75292999999999</v>
      </c>
      <c r="D66" s="28">
        <f t="shared" si="0"/>
        <v>5.2855039850933538E-2</v>
      </c>
      <c r="F66" s="25">
        <v>45474</v>
      </c>
      <c r="G66" s="26">
        <v>24834.849609000001</v>
      </c>
      <c r="H66" s="28">
        <f t="shared" si="1"/>
        <v>3.4328588765898393E-2</v>
      </c>
    </row>
    <row r="67" spans="2:8">
      <c r="B67" s="25">
        <v>45502</v>
      </c>
      <c r="C67" s="26">
        <v>641.09997599999997</v>
      </c>
      <c r="D67" s="28">
        <f t="shared" si="0"/>
        <v>1.8018250427195293E-2</v>
      </c>
      <c r="F67" s="25">
        <v>45502</v>
      </c>
      <c r="G67" s="26">
        <v>24836.099609000001</v>
      </c>
      <c r="H67" s="28">
        <f t="shared" si="1"/>
        <v>5.0332497264049536E-5</v>
      </c>
    </row>
  </sheetData>
  <mergeCells count="2">
    <mergeCell ref="B5:D5"/>
    <mergeCell ref="F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Rd</vt:lpstr>
      <vt:lpstr>Rf</vt:lpstr>
      <vt:lpstr>Histbeta</vt:lpstr>
      <vt:lpstr>bupbeta</vt:lpstr>
      <vt:lpstr>Nestle</vt:lpstr>
      <vt:lpstr>VarunBvg</vt:lpstr>
      <vt:lpstr>Godrej</vt:lpstr>
      <vt:lpstr>Britania</vt:lpstr>
      <vt:lpstr>dabur</vt:lpstr>
      <vt:lpstr>Rm</vt:lpstr>
      <vt:lpstr>Re</vt:lpstr>
      <vt:lpstr>WACC</vt:lpstr>
      <vt:lpstr>Valuation</vt:lpstr>
      <vt:lpstr>BS</vt:lpstr>
      <vt:lpstr>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Ansh_Awasthi_MBA/09/009 _</dc:creator>
  <cp:lastModifiedBy>Prakha Agrawal</cp:lastModifiedBy>
  <dcterms:created xsi:type="dcterms:W3CDTF">2024-07-29T14:26:05Z</dcterms:created>
  <dcterms:modified xsi:type="dcterms:W3CDTF">2025-03-23T08:59:13Z</dcterms:modified>
</cp:coreProperties>
</file>