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4c0877a5f6f3f923/Desktop/Praject/Paytm/"/>
    </mc:Choice>
  </mc:AlternateContent>
  <xr:revisionPtr revIDLastSave="38" documentId="8_{C440F6FA-D474-49BE-B1F7-852EFA7AE053}" xr6:coauthVersionLast="47" xr6:coauthVersionMax="47" xr10:uidLastSave="{922AB3B8-FD66-4B8D-BCEB-7972D74D2327}"/>
  <bookViews>
    <workbookView xWindow="-110" yWindow="-110" windowWidth="19420" windowHeight="10300" activeTab="4" xr2:uid="{2E6A5B0E-4BB1-415E-B001-58EFED188FA5}"/>
  </bookViews>
  <sheets>
    <sheet name="Income Statement" sheetId="1" r:id="rId1"/>
    <sheet name="Balance sheet" sheetId="3" r:id="rId2"/>
    <sheet name="Cash Flow Statement" sheetId="4" r:id="rId3"/>
    <sheet name="Ratios" sheetId="5" r:id="rId4"/>
    <sheet name="Projections" sheetId="6" r:id="rId5"/>
    <sheet name="DCF" sheetId="8" r:id="rId6"/>
    <sheet name="Data Sheet" sheetId="2" r:id="rId7"/>
  </sheets>
  <externalReferences>
    <externalReference r:id="rId8"/>
  </externalReference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1" i="8" l="1"/>
  <c r="C28" i="6"/>
  <c r="D28" i="6" s="1"/>
  <c r="E28" i="6" s="1"/>
  <c r="F28" i="6" s="1"/>
  <c r="G28" i="6" s="1"/>
  <c r="B25" i="6"/>
  <c r="C25" i="6" s="1"/>
  <c r="D25" i="6" s="1"/>
  <c r="E25" i="6" s="1"/>
  <c r="F25" i="6" s="1"/>
  <c r="G25" i="6" s="1"/>
  <c r="B21" i="6"/>
  <c r="N19" i="6"/>
  <c r="N18" i="6"/>
  <c r="N17" i="6"/>
  <c r="N16" i="6"/>
  <c r="B12" i="6"/>
  <c r="C12" i="6" s="1"/>
  <c r="D12" i="6" s="1"/>
  <c r="E12" i="6" s="1"/>
  <c r="F12" i="6" s="1"/>
  <c r="G12" i="6" s="1"/>
  <c r="C6" i="1"/>
  <c r="D6" i="1"/>
  <c r="E6" i="1"/>
  <c r="F6" i="1"/>
  <c r="G6" i="1"/>
  <c r="F27" i="1"/>
  <c r="G27" i="1"/>
  <c r="C13" i="5"/>
  <c r="D13" i="5"/>
  <c r="E13" i="5"/>
  <c r="B13" i="5"/>
  <c r="C10" i="5"/>
  <c r="D10" i="5"/>
  <c r="E10" i="5"/>
  <c r="B10" i="5"/>
  <c r="C7" i="5"/>
  <c r="D7" i="5"/>
  <c r="E7" i="5"/>
  <c r="B7" i="5"/>
  <c r="C5" i="5"/>
  <c r="D5" i="5"/>
  <c r="E5" i="5"/>
  <c r="B5" i="5"/>
  <c r="E6" i="4"/>
  <c r="F6" i="4"/>
  <c r="G6" i="4"/>
  <c r="H6" i="4"/>
  <c r="I6" i="4"/>
  <c r="J6" i="4"/>
  <c r="K6" i="4"/>
  <c r="E7" i="4"/>
  <c r="F7" i="4"/>
  <c r="G7" i="4"/>
  <c r="H7" i="4"/>
  <c r="I7" i="4"/>
  <c r="J7" i="4"/>
  <c r="K7" i="4"/>
  <c r="E8" i="4"/>
  <c r="F8" i="4"/>
  <c r="G8" i="4"/>
  <c r="H8" i="4"/>
  <c r="I8" i="4"/>
  <c r="J8" i="4"/>
  <c r="K8" i="4"/>
  <c r="E9" i="4"/>
  <c r="F9" i="4"/>
  <c r="G9" i="4"/>
  <c r="H9" i="4"/>
  <c r="I9" i="4"/>
  <c r="J9" i="4"/>
  <c r="K9" i="4"/>
  <c r="D7" i="4"/>
  <c r="D8" i="4"/>
  <c r="D9" i="4"/>
  <c r="D6" i="4"/>
  <c r="G25" i="3"/>
  <c r="H25" i="3"/>
  <c r="I25" i="3"/>
  <c r="J25" i="3"/>
  <c r="K25" i="3"/>
  <c r="G26" i="3"/>
  <c r="H26" i="3"/>
  <c r="I26" i="3"/>
  <c r="J26" i="3"/>
  <c r="K26" i="3"/>
  <c r="F26" i="3"/>
  <c r="I22" i="3"/>
  <c r="J22" i="3"/>
  <c r="K22" i="3"/>
  <c r="G22" i="3"/>
  <c r="H22" i="3"/>
  <c r="F22" i="3"/>
  <c r="F25" i="3"/>
  <c r="E21" i="3"/>
  <c r="F21" i="3"/>
  <c r="G21" i="3"/>
  <c r="H21" i="3"/>
  <c r="I21" i="3"/>
  <c r="J21" i="3"/>
  <c r="K21" i="3"/>
  <c r="D21" i="3"/>
  <c r="E19" i="3"/>
  <c r="F19" i="3"/>
  <c r="G19" i="3"/>
  <c r="H19" i="3"/>
  <c r="I19" i="3"/>
  <c r="J19" i="3"/>
  <c r="K19" i="3"/>
  <c r="D19" i="3"/>
  <c r="D8" i="3"/>
  <c r="K7" i="3"/>
  <c r="K8" i="3"/>
  <c r="K9" i="3"/>
  <c r="K10" i="3"/>
  <c r="K12" i="3"/>
  <c r="K13" i="3"/>
  <c r="K14" i="3"/>
  <c r="K15" i="3"/>
  <c r="K16" i="3"/>
  <c r="K20" i="3"/>
  <c r="J7" i="3"/>
  <c r="J8" i="3"/>
  <c r="J9" i="3"/>
  <c r="J10" i="3"/>
  <c r="J12" i="3"/>
  <c r="J13" i="3"/>
  <c r="J14" i="3"/>
  <c r="J15" i="3"/>
  <c r="J16" i="3"/>
  <c r="J20" i="3"/>
  <c r="I7" i="3"/>
  <c r="I8" i="3"/>
  <c r="I9" i="3"/>
  <c r="I10" i="3"/>
  <c r="I12" i="3"/>
  <c r="I13" i="3"/>
  <c r="I14" i="3"/>
  <c r="I15" i="3"/>
  <c r="I16" i="3"/>
  <c r="I20" i="3"/>
  <c r="H7" i="3"/>
  <c r="H8" i="3"/>
  <c r="H9" i="3"/>
  <c r="H10" i="3"/>
  <c r="H12" i="3"/>
  <c r="H13" i="3"/>
  <c r="H14" i="3"/>
  <c r="H15" i="3"/>
  <c r="H16" i="3"/>
  <c r="H20" i="3"/>
  <c r="G7" i="3"/>
  <c r="G8" i="3"/>
  <c r="G9" i="3"/>
  <c r="G10" i="3"/>
  <c r="G12" i="3"/>
  <c r="G13" i="3"/>
  <c r="G14" i="3"/>
  <c r="G15" i="3"/>
  <c r="G16" i="3"/>
  <c r="G20" i="3"/>
  <c r="F7" i="3"/>
  <c r="F8" i="3"/>
  <c r="F9" i="3"/>
  <c r="F10" i="3"/>
  <c r="F12" i="3"/>
  <c r="F13" i="3"/>
  <c r="F14" i="3"/>
  <c r="F15" i="3"/>
  <c r="F16" i="3"/>
  <c r="F20" i="3"/>
  <c r="E7" i="3"/>
  <c r="E8" i="3"/>
  <c r="E9" i="3"/>
  <c r="E10" i="3"/>
  <c r="E12" i="3"/>
  <c r="E13" i="3"/>
  <c r="E14" i="3"/>
  <c r="E15" i="3"/>
  <c r="E16" i="3"/>
  <c r="E20" i="3"/>
  <c r="E6" i="3"/>
  <c r="F6" i="3"/>
  <c r="G6" i="3"/>
  <c r="H6" i="3"/>
  <c r="I6" i="3"/>
  <c r="J6" i="3"/>
  <c r="K6" i="3"/>
  <c r="D7" i="3"/>
  <c r="D9" i="3"/>
  <c r="D10" i="3"/>
  <c r="D12" i="3"/>
  <c r="D13" i="3"/>
  <c r="D14" i="3"/>
  <c r="D15" i="3"/>
  <c r="D16" i="3"/>
  <c r="D20" i="3"/>
  <c r="D6" i="3"/>
  <c r="A4" i="3"/>
  <c r="I16" i="1"/>
  <c r="J16" i="1"/>
  <c r="J12" i="1"/>
  <c r="J14" i="1" s="1"/>
  <c r="I12" i="1"/>
  <c r="I14" i="1" s="1"/>
  <c r="J11" i="1"/>
  <c r="I11" i="1"/>
  <c r="J9" i="1"/>
  <c r="I9" i="1"/>
  <c r="I10" i="1"/>
  <c r="J10" i="1"/>
  <c r="I15" i="1"/>
  <c r="J15" i="1"/>
  <c r="H15" i="1"/>
  <c r="H16" i="1" s="1"/>
  <c r="H28" i="1" s="1"/>
  <c r="G15" i="1"/>
  <c r="H13" i="1"/>
  <c r="H14" i="1"/>
  <c r="H11" i="1"/>
  <c r="H12" i="1"/>
  <c r="H10" i="1"/>
  <c r="H9" i="1"/>
  <c r="H7" i="1"/>
  <c r="H8" i="1" s="1"/>
  <c r="H21" i="1" s="1"/>
  <c r="H27" i="1"/>
  <c r="G26" i="1"/>
  <c r="F26" i="1"/>
  <c r="G20" i="1"/>
  <c r="F20" i="1"/>
  <c r="E20" i="1"/>
  <c r="D20" i="1"/>
  <c r="C20" i="1"/>
  <c r="B20" i="1"/>
  <c r="C17" i="1"/>
  <c r="C16" i="1" s="1"/>
  <c r="D17" i="1"/>
  <c r="D16" i="1" s="1"/>
  <c r="E17" i="1"/>
  <c r="F17" i="1"/>
  <c r="G17" i="1"/>
  <c r="B17" i="1"/>
  <c r="B16" i="1" s="1"/>
  <c r="C15" i="1"/>
  <c r="D15" i="1"/>
  <c r="E15" i="1"/>
  <c r="F15" i="1"/>
  <c r="B15" i="1"/>
  <c r="C7" i="1"/>
  <c r="C8" i="1" s="1"/>
  <c r="C21" i="1" s="1"/>
  <c r="D7" i="1"/>
  <c r="D8" i="1" s="1"/>
  <c r="E7" i="1"/>
  <c r="E8" i="1" s="1"/>
  <c r="F7" i="1"/>
  <c r="F8" i="1" s="1"/>
  <c r="F21" i="1" s="1"/>
  <c r="G7" i="1"/>
  <c r="G8" i="1" s="1"/>
  <c r="B7" i="1"/>
  <c r="B8" i="1" s="1"/>
  <c r="B21" i="1" s="1"/>
  <c r="B4" i="2"/>
  <c r="E21" i="6" l="1"/>
  <c r="E23" i="6" s="1"/>
  <c r="G21" i="6"/>
  <c r="G23" i="6" s="1"/>
  <c r="F21" i="6"/>
  <c r="F23" i="6" s="1"/>
  <c r="G31" i="6"/>
  <c r="F5" i="8" s="1"/>
  <c r="C31" i="6"/>
  <c r="B5" i="8" s="1"/>
  <c r="B19" i="8" s="1"/>
  <c r="B21" i="8" s="1"/>
  <c r="F31" i="6"/>
  <c r="E5" i="8" s="1"/>
  <c r="E19" i="8" s="1"/>
  <c r="E21" i="8" s="1"/>
  <c r="E31" i="6"/>
  <c r="D5" i="8" s="1"/>
  <c r="D19" i="8" s="1"/>
  <c r="D21" i="8" s="1"/>
  <c r="D31" i="6"/>
  <c r="C5" i="8" s="1"/>
  <c r="C19" i="8" s="1"/>
  <c r="C21" i="8" s="1"/>
  <c r="D21" i="6"/>
  <c r="E16" i="1"/>
  <c r="F16" i="1"/>
  <c r="E21" i="1"/>
  <c r="C6" i="5"/>
  <c r="B6" i="5"/>
  <c r="D21" i="1"/>
  <c r="D6" i="5"/>
  <c r="G16" i="1"/>
  <c r="G28" i="1" s="1"/>
  <c r="G21" i="1"/>
  <c r="E6" i="5"/>
  <c r="F28" i="1"/>
  <c r="I26" i="1"/>
  <c r="I5" i="1" s="1"/>
  <c r="I7" i="1" s="1"/>
  <c r="J26" i="1"/>
  <c r="J5" i="1" s="1"/>
  <c r="J7" i="1" s="1"/>
  <c r="F19" i="8" l="1"/>
  <c r="F21" i="8" s="1"/>
  <c r="D14" i="8"/>
  <c r="C14" i="8"/>
  <c r="B23" i="8" s="1"/>
  <c r="B25" i="8" s="1"/>
  <c r="B28" i="8" s="1"/>
  <c r="B14" i="8"/>
  <c r="C21" i="6"/>
  <c r="C23" i="6" s="1"/>
  <c r="D23" i="6"/>
  <c r="J28" i="1"/>
  <c r="I28" i="1"/>
  <c r="I27" i="1" l="1"/>
  <c r="I8" i="1" s="1"/>
  <c r="J27" i="1"/>
  <c r="J8" i="1" s="1"/>
</calcChain>
</file>

<file path=xl/sharedStrings.xml><?xml version="1.0" encoding="utf-8"?>
<sst xmlns="http://schemas.openxmlformats.org/spreadsheetml/2006/main" count="168" uniqueCount="115">
  <si>
    <t>Number of shares</t>
  </si>
  <si>
    <t>Face Value</t>
  </si>
  <si>
    <t>Current Price</t>
  </si>
  <si>
    <t>Market Capitalization</t>
  </si>
  <si>
    <t>COMPANY NAME</t>
  </si>
  <si>
    <t>ONE 97 COMMUNICATIONS LTD</t>
  </si>
  <si>
    <t>PROFIT &amp; LOSS</t>
  </si>
  <si>
    <t>Report Date</t>
  </si>
  <si>
    <t>Sales</t>
  </si>
  <si>
    <t>Raw Material Cost</t>
  </si>
  <si>
    <t>Change in Inventory</t>
  </si>
  <si>
    <t>Power and Fuel</t>
  </si>
  <si>
    <t>Other Mfr. Exp</t>
  </si>
  <si>
    <t>Employee Cost</t>
  </si>
  <si>
    <t>Selling and admin</t>
  </si>
  <si>
    <t>Other Expenses</t>
  </si>
  <si>
    <t>Other Income</t>
  </si>
  <si>
    <t>Depreciation</t>
  </si>
  <si>
    <t>Interest</t>
  </si>
  <si>
    <t>Profit before tax</t>
  </si>
  <si>
    <t>Tax</t>
  </si>
  <si>
    <t>Net profit</t>
  </si>
  <si>
    <t>Dividend Amount</t>
  </si>
  <si>
    <t>Quarters</t>
  </si>
  <si>
    <t>Expenses</t>
  </si>
  <si>
    <t>Operating Profit</t>
  </si>
  <si>
    <t>BALANCE SHEET</t>
  </si>
  <si>
    <t>Equity Share Capital</t>
  </si>
  <si>
    <t>Reserves</t>
  </si>
  <si>
    <t>Borrowings</t>
  </si>
  <si>
    <t>Other Liabilities</t>
  </si>
  <si>
    <t>Total</t>
  </si>
  <si>
    <t>Net Block</t>
  </si>
  <si>
    <t>Capital Work in Progress</t>
  </si>
  <si>
    <t>Investments</t>
  </si>
  <si>
    <t>Other Assets</t>
  </si>
  <si>
    <t>Receivables</t>
  </si>
  <si>
    <t>Inventory</t>
  </si>
  <si>
    <t>Cash &amp; Bank</t>
  </si>
  <si>
    <t>No. of Equity Shares</t>
  </si>
  <si>
    <t>New Bonus Shares</t>
  </si>
  <si>
    <t>Face value</t>
  </si>
  <si>
    <t>CASH FLOW:</t>
  </si>
  <si>
    <t>Cash from Operating Activity</t>
  </si>
  <si>
    <t>Cash from Investing Activity</t>
  </si>
  <si>
    <t>Cash from Financing Activity</t>
  </si>
  <si>
    <t>Net Cash Flow</t>
  </si>
  <si>
    <t>PRICE:</t>
  </si>
  <si>
    <t>DERIVED:</t>
  </si>
  <si>
    <t>Adjusted Equity Shares in Cr</t>
  </si>
  <si>
    <t>Trailing</t>
  </si>
  <si>
    <t>Best Case</t>
  </si>
  <si>
    <t>Worst Case</t>
  </si>
  <si>
    <t>EPS</t>
  </si>
  <si>
    <t>Price to earning</t>
  </si>
  <si>
    <t>Price</t>
  </si>
  <si>
    <t>RATIOS:</t>
  </si>
  <si>
    <t>Dividend Payout</t>
  </si>
  <si>
    <t>OPM</t>
  </si>
  <si>
    <t>TRENDS:</t>
  </si>
  <si>
    <t>5 YEARS</t>
  </si>
  <si>
    <t>3 YEARS</t>
  </si>
  <si>
    <t>RECENT</t>
  </si>
  <si>
    <t>BEST</t>
  </si>
  <si>
    <t>WORST</t>
  </si>
  <si>
    <t>Sales Growth</t>
  </si>
  <si>
    <t>Price to Earning</t>
  </si>
  <si>
    <t>As OPM is 0% so, taking expenses equal to sales</t>
  </si>
  <si>
    <t>Assumption: Taking the data of the other income depriciation and interest from the Mar-24 FY</t>
  </si>
  <si>
    <t>Working Capital</t>
  </si>
  <si>
    <t>Debtors</t>
  </si>
  <si>
    <t>Debtor days</t>
  </si>
  <si>
    <t>Return on Equity</t>
  </si>
  <si>
    <t>Return on Capital Emp</t>
  </si>
  <si>
    <t>Gross Margin</t>
  </si>
  <si>
    <t>Profatibility Ratio</t>
  </si>
  <si>
    <t>Operating Margin</t>
  </si>
  <si>
    <t>Net Profit Margin</t>
  </si>
  <si>
    <t>Leverage Ratios</t>
  </si>
  <si>
    <t>Debt to Equity Ratio</t>
  </si>
  <si>
    <t>Efficiency Ratios</t>
  </si>
  <si>
    <t>Asset Turnover</t>
  </si>
  <si>
    <t>YOY Growth</t>
  </si>
  <si>
    <t>F-Year</t>
  </si>
  <si>
    <t>Expense to revenue ratio</t>
  </si>
  <si>
    <t>For MARCH 2024</t>
  </si>
  <si>
    <t>For MARCH 2023</t>
  </si>
  <si>
    <t>For MARCH 2022</t>
  </si>
  <si>
    <t>For MARCH 2021</t>
  </si>
  <si>
    <t>For the expenses I am using expense to revenue ratio, as we can see the Paytm expeses are more then the revenue historically. Lets take an asuumption the company will break even by FY-26 and the OPM will be at 4% for rest of the years</t>
  </si>
  <si>
    <t xml:space="preserve">AS THE FINANCIAL SERVICES SEGMENT is expected to grow with a 18.5% CAGR and DIGITAL PAYMENT segment is expected to grow with a 15.7% CAGR From the PAYTM financial of last 5 years the company is performing as per the industry growth and even beating it, so assuming that PAYTM will continue to grow with the industry with 20% CAGR 2025-29 </t>
  </si>
  <si>
    <t>Projected YOY Growth</t>
  </si>
  <si>
    <t xml:space="preserve">Net Income </t>
  </si>
  <si>
    <t>OCF(Operating cash flow)</t>
  </si>
  <si>
    <t>Assuming the OFC growth rate at 18% for the next 5 years as the Capex for paytm is on higher side</t>
  </si>
  <si>
    <t>Capex</t>
  </si>
  <si>
    <t>Free Cash Flow</t>
  </si>
  <si>
    <t>For the compay growing at 20% CAGR it is safe to assume the capex will also grow and from historic trends lets say capex will grow at 12% anually</t>
  </si>
  <si>
    <t>NOTE : I AM PROJECTING THE REVENUES AND CASH FLOW ONLY FOR NEXT 5 FIVE YEARS INSTEAD OF STANDARD 10 YEAR MODEL, AS THE INDUSTRY IN WHICH THE PAYTM OPERATES IS FIN-TECH AND SOME NEW REVOLUTIONARY TECHNOLOGY MAY CAME UP AND MIGHT CHANGE EVERYTHING</t>
  </si>
  <si>
    <t>Terminal value</t>
  </si>
  <si>
    <t>Calculating the terminal value</t>
  </si>
  <si>
    <t>Morderate (4%)</t>
  </si>
  <si>
    <t>Conservative (3%)</t>
  </si>
  <si>
    <t>Optimistic (6%)</t>
  </si>
  <si>
    <t>From the internet the Risk free rate or dicount rate for Paytm Stands at 11.5%</t>
  </si>
  <si>
    <t>Moving forward with the Moderate one</t>
  </si>
  <si>
    <t>FY</t>
  </si>
  <si>
    <t>PV of FCF</t>
  </si>
  <si>
    <t>PV of terminal value</t>
  </si>
  <si>
    <t>Enterprise value(EV)</t>
  </si>
  <si>
    <t xml:space="preserve">Current Debt </t>
  </si>
  <si>
    <t>Equity value</t>
  </si>
  <si>
    <t xml:space="preserve">Value Per share </t>
  </si>
  <si>
    <t>Taking the 10% range considering any error in assumption the range for price comes out in 69.13 - 84.5</t>
  </si>
  <si>
    <t>Conclusion : The significant discrepancy between the DCF model's estimated share price of ₹76.2 and Paytm's current market price suggests potential overvaluation. Several factors might explain this gap, including market sentiment, high growth expectations, or strategic initiatives that aren't fully reflected in the FCF model. Additionally, the market could be factoring in future potential or qualitative aspects that the DCF analysis does not capture. This highlights the importance of considering a range of valuation methods and assumptions when assessing a company's true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</si>
</sst>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409]mmm\-yy;@"/>
    <numFmt numFmtId="165" formatCode="_(* #,##0.00_);_(* \(#,##0.00\);_(* &quot;-&quot;??_);_(@_)"/>
    <numFmt numFmtId="166" formatCode="_ * #,##0.0_ ;_ * \-#,##0.0_ ;_ * &quot;-&quot;??_ ;_ @_ "/>
  </numFmts>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12">
    <fill>
      <patternFill patternType="none"/>
    </fill>
    <fill>
      <patternFill patternType="gray125"/>
    </fill>
    <fill>
      <patternFill patternType="solid">
        <fgColor theme="7"/>
        <bgColor indexed="64"/>
      </patternFill>
    </fill>
    <fill>
      <patternFill patternType="solid">
        <fgColor rgb="FF0275D8"/>
        <bgColor indexed="64"/>
      </patternFill>
    </fill>
    <fill>
      <patternFill patternType="solid">
        <fgColor theme="0"/>
        <bgColor indexed="64"/>
      </patternFill>
    </fill>
    <fill>
      <patternFill patternType="solid">
        <fgColor theme="9"/>
        <bgColor indexed="64"/>
      </patternFill>
    </fill>
    <fill>
      <patternFill patternType="solid">
        <fgColor rgb="FFFF0000"/>
        <bgColor indexed="64"/>
      </patternFill>
    </fill>
    <fill>
      <patternFill patternType="solid">
        <fgColor theme="5" tint="-0.249977111117893"/>
        <bgColor indexed="64"/>
      </patternFill>
    </fill>
    <fill>
      <patternFill patternType="solid">
        <fgColor theme="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9" tint="0.79998168889431442"/>
        <bgColor indexed="64"/>
      </patternFill>
    </fill>
  </fills>
  <borders count="6">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double">
        <color indexed="64"/>
      </bottom>
      <diagonal/>
    </border>
    <border>
      <left/>
      <right/>
      <top/>
      <bottom style="medium">
        <color indexed="64"/>
      </bottom>
      <diagonal/>
    </border>
  </borders>
  <cellStyleXfs count="2">
    <xf numFmtId="0" fontId="0" fillId="0" borderId="0"/>
    <xf numFmtId="43" fontId="1" fillId="0" borderId="0" applyFont="0" applyFill="0" applyBorder="0" applyAlignment="0" applyProtection="0"/>
  </cellStyleXfs>
  <cellXfs count="42">
    <xf numFmtId="0" fontId="0" fillId="0" borderId="0" xfId="0"/>
    <xf numFmtId="43" fontId="0" fillId="0" borderId="0" xfId="1" applyFont="1" applyBorder="1"/>
    <xf numFmtId="43" fontId="3" fillId="0" borderId="0" xfId="1" applyFont="1" applyBorder="1"/>
    <xf numFmtId="43" fontId="3" fillId="2" borderId="0" xfId="1" applyFont="1" applyFill="1" applyBorder="1"/>
    <xf numFmtId="164" fontId="2" fillId="3" borderId="0" xfId="1" applyNumberFormat="1" applyFont="1" applyFill="1" applyBorder="1"/>
    <xf numFmtId="164" fontId="2" fillId="3" borderId="0" xfId="0" applyNumberFormat="1" applyFont="1" applyFill="1" applyAlignment="1">
      <alignment horizontal="center"/>
    </xf>
    <xf numFmtId="43" fontId="1" fillId="0" borderId="0" xfId="1" applyFont="1" applyBorder="1"/>
    <xf numFmtId="165" fontId="0" fillId="0" borderId="0" xfId="1" applyNumberFormat="1" applyFont="1" applyBorder="1"/>
    <xf numFmtId="0" fontId="2" fillId="3" borderId="0" xfId="0" applyFont="1" applyFill="1" applyAlignment="1">
      <alignment horizontal="center"/>
    </xf>
    <xf numFmtId="0" fontId="0" fillId="4" borderId="0" xfId="0" applyFill="1"/>
    <xf numFmtId="0" fontId="3" fillId="0" borderId="0" xfId="0" applyFont="1"/>
    <xf numFmtId="2" fontId="0" fillId="0" borderId="0" xfId="0" applyNumberFormat="1"/>
    <xf numFmtId="43" fontId="0" fillId="0" borderId="0" xfId="0" applyNumberFormat="1"/>
    <xf numFmtId="10" fontId="0" fillId="0" borderId="0" xfId="0" applyNumberFormat="1"/>
    <xf numFmtId="10" fontId="3" fillId="0" borderId="0" xfId="0" applyNumberFormat="1" applyFont="1"/>
    <xf numFmtId="9" fontId="0" fillId="0" borderId="0" xfId="0" applyNumberFormat="1"/>
    <xf numFmtId="0" fontId="0" fillId="5" borderId="0" xfId="0" applyFill="1"/>
    <xf numFmtId="0" fontId="0" fillId="6" borderId="0" xfId="0" applyFill="1"/>
    <xf numFmtId="9" fontId="3" fillId="0" borderId="0" xfId="0" applyNumberFormat="1" applyFont="1"/>
    <xf numFmtId="166" fontId="1" fillId="0" borderId="0" xfId="1" applyNumberFormat="1" applyFont="1" applyBorder="1"/>
    <xf numFmtId="0" fontId="4" fillId="4" borderId="1" xfId="0" applyFont="1" applyFill="1" applyBorder="1"/>
    <xf numFmtId="2" fontId="0" fillId="5" borderId="0" xfId="0" applyNumberFormat="1" applyFill="1"/>
    <xf numFmtId="2" fontId="0" fillId="9" borderId="0" xfId="0" applyNumberFormat="1" applyFill="1"/>
    <xf numFmtId="2" fontId="0" fillId="10" borderId="0" xfId="0" applyNumberFormat="1" applyFill="1"/>
    <xf numFmtId="1" fontId="0" fillId="0" borderId="0" xfId="0" applyNumberFormat="1"/>
    <xf numFmtId="0" fontId="0" fillId="2" borderId="0" xfId="0" applyFill="1"/>
    <xf numFmtId="2" fontId="0" fillId="2" borderId="0" xfId="0" applyNumberFormat="1" applyFill="1"/>
    <xf numFmtId="43" fontId="3" fillId="2" borderId="0" xfId="1" applyFont="1" applyFill="1" applyBorder="1" applyAlignment="1">
      <alignment horizontal="center"/>
    </xf>
    <xf numFmtId="0" fontId="0" fillId="0" borderId="0" xfId="0" applyAlignment="1">
      <alignment horizontal="center"/>
    </xf>
    <xf numFmtId="0" fontId="4" fillId="8" borderId="2" xfId="0" applyFont="1" applyFill="1" applyBorder="1" applyAlignment="1">
      <alignment horizontal="center" wrapText="1"/>
    </xf>
    <xf numFmtId="0" fontId="4" fillId="8" borderId="3" xfId="0" applyFont="1" applyFill="1" applyBorder="1" applyAlignment="1">
      <alignment horizontal="center" wrapText="1"/>
    </xf>
    <xf numFmtId="0" fontId="4" fillId="7" borderId="2" xfId="0" applyFont="1" applyFill="1" applyBorder="1" applyAlignment="1">
      <alignment horizontal="center" vertical="center" wrapText="1"/>
    </xf>
    <xf numFmtId="0" fontId="4" fillId="7" borderId="0" xfId="0" applyFont="1" applyFill="1" applyAlignment="1">
      <alignment horizontal="center" vertical="center" wrapText="1"/>
    </xf>
    <xf numFmtId="0" fontId="4" fillId="7" borderId="2" xfId="0" applyFont="1" applyFill="1" applyBorder="1" applyAlignment="1">
      <alignment horizontal="center" wrapText="1"/>
    </xf>
    <xf numFmtId="0" fontId="4" fillId="7" borderId="3" xfId="0" applyFont="1" applyFill="1" applyBorder="1" applyAlignment="1">
      <alignment horizontal="center" wrapText="1"/>
    </xf>
    <xf numFmtId="0" fontId="0" fillId="0" borderId="0" xfId="0" applyAlignment="1">
      <alignment horizontal="center" vertical="center"/>
    </xf>
    <xf numFmtId="0" fontId="0" fillId="11" borderId="2" xfId="0" applyFill="1" applyBorder="1" applyAlignment="1">
      <alignment horizontal="center" vertical="center" wrapText="1"/>
    </xf>
    <xf numFmtId="0" fontId="0" fillId="11" borderId="0" xfId="0" applyFill="1" applyAlignment="1">
      <alignment horizontal="center" vertical="center" wrapText="1"/>
    </xf>
    <xf numFmtId="0" fontId="0" fillId="11" borderId="4" xfId="0" applyFill="1" applyBorder="1" applyAlignment="1">
      <alignment horizontal="center" vertical="center" wrapText="1"/>
    </xf>
    <xf numFmtId="0" fontId="0" fillId="5" borderId="2" xfId="0" applyFill="1" applyBorder="1" applyAlignment="1">
      <alignment horizontal="center" vertical="center" wrapText="1"/>
    </xf>
    <xf numFmtId="0" fontId="0" fillId="5" borderId="0" xfId="0" applyFill="1" applyAlignment="1">
      <alignment horizontal="center" vertical="center" wrapText="1"/>
    </xf>
    <xf numFmtId="0" fontId="0" fillId="5" borderId="5" xfId="0"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'Income Statement'!$A$5</c:f>
              <c:strCache>
                <c:ptCount val="1"/>
                <c:pt idx="0">
                  <c:v>Sales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prstDash val="sysDash"/>
              </a:ln>
              <a:effectLst/>
            </c:spPr>
            <c:trendlineType val="linear"/>
            <c:dispRSqr val="0"/>
            <c:dispEq val="0"/>
          </c:trendline>
          <c:cat>
            <c:strRef>
              <c:f>'Income Statement'!$B$4:$J$4</c:f>
              <c:strCache>
                <c:ptCount val="9"/>
                <c:pt idx="0">
                  <c:v>Mar-19</c:v>
                </c:pt>
                <c:pt idx="1">
                  <c:v>Mar-20</c:v>
                </c:pt>
                <c:pt idx="2">
                  <c:v>Mar-21</c:v>
                </c:pt>
                <c:pt idx="3">
                  <c:v>Mar-22</c:v>
                </c:pt>
                <c:pt idx="4">
                  <c:v>Mar-23</c:v>
                </c:pt>
                <c:pt idx="5">
                  <c:v>Mar-24</c:v>
                </c:pt>
                <c:pt idx="6">
                  <c:v>Trailing</c:v>
                </c:pt>
                <c:pt idx="7">
                  <c:v>Best Case</c:v>
                </c:pt>
                <c:pt idx="8">
                  <c:v>Worst Case</c:v>
                </c:pt>
              </c:strCache>
            </c:strRef>
          </c:cat>
          <c:val>
            <c:numRef>
              <c:f>'Income Statement'!$B$5:$J$5</c:f>
              <c:numCache>
                <c:formatCode>0.00</c:formatCode>
                <c:ptCount val="9"/>
                <c:pt idx="0">
                  <c:v>3224.1</c:v>
                </c:pt>
                <c:pt idx="1">
                  <c:v>3278.7</c:v>
                </c:pt>
                <c:pt idx="2">
                  <c:v>2801.3</c:v>
                </c:pt>
                <c:pt idx="3">
                  <c:v>4974.2</c:v>
                </c:pt>
                <c:pt idx="4">
                  <c:v>7990.3</c:v>
                </c:pt>
                <c:pt idx="5">
                  <c:v>9977.7999999999993</c:v>
                </c:pt>
                <c:pt idx="6">
                  <c:v>1502</c:v>
                </c:pt>
                <c:pt idx="7" formatCode="General">
                  <c:v>15237.94911158094</c:v>
                </c:pt>
                <c:pt idx="8" formatCode="General">
                  <c:v>12459.278859999999</c:v>
                </c:pt>
              </c:numCache>
            </c:numRef>
          </c:val>
          <c:extLst>
            <c:ext xmlns:c16="http://schemas.microsoft.com/office/drawing/2014/chart" uri="{C3380CC4-5D6E-409C-BE32-E72D297353CC}">
              <c16:uniqueId val="{00000000-DE79-43B7-8FE0-3B4C5B034DC9}"/>
            </c:ext>
          </c:extLst>
        </c:ser>
        <c:dLbls>
          <c:dLblPos val="inEnd"/>
          <c:showLegendKey val="0"/>
          <c:showVal val="1"/>
          <c:showCatName val="0"/>
          <c:showSerName val="0"/>
          <c:showPercent val="0"/>
          <c:showBubbleSize val="0"/>
        </c:dLbls>
        <c:gapWidth val="41"/>
        <c:axId val="1545411648"/>
        <c:axId val="1545412128"/>
      </c:barChart>
      <c:catAx>
        <c:axId val="15454116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Financial 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45412128"/>
        <c:crosses val="autoZero"/>
        <c:auto val="1"/>
        <c:lblAlgn val="ctr"/>
        <c:lblOffset val="100"/>
        <c:noMultiLvlLbl val="0"/>
      </c:catAx>
      <c:valAx>
        <c:axId val="154541212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 sourceLinked="1"/>
        <c:majorTickMark val="none"/>
        <c:minorTickMark val="none"/>
        <c:tickLblPos val="nextTo"/>
        <c:crossAx val="1545411648"/>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'Income Statement'!$A$14</c:f>
              <c:strCache>
                <c:ptCount val="1"/>
                <c:pt idx="0">
                  <c:v>Net profit</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prstDash val="sysDash"/>
              </a:ln>
              <a:effectLst/>
            </c:spPr>
            <c:trendlineType val="linear"/>
            <c:dispRSqr val="0"/>
            <c:dispEq val="0"/>
          </c:trendline>
          <c:cat>
            <c:strRef>
              <c:f>'Income Statement'!$B$4:$J$4</c:f>
              <c:strCache>
                <c:ptCount val="9"/>
                <c:pt idx="0">
                  <c:v>Mar-19</c:v>
                </c:pt>
                <c:pt idx="1">
                  <c:v>Mar-20</c:v>
                </c:pt>
                <c:pt idx="2">
                  <c:v>Mar-21</c:v>
                </c:pt>
                <c:pt idx="3">
                  <c:v>Mar-22</c:v>
                </c:pt>
                <c:pt idx="4">
                  <c:v>Mar-23</c:v>
                </c:pt>
                <c:pt idx="5">
                  <c:v>Mar-24</c:v>
                </c:pt>
                <c:pt idx="6">
                  <c:v>Trailing</c:v>
                </c:pt>
                <c:pt idx="7">
                  <c:v>Best Case</c:v>
                </c:pt>
                <c:pt idx="8">
                  <c:v>Worst Case</c:v>
                </c:pt>
              </c:strCache>
            </c:strRef>
          </c:cat>
          <c:val>
            <c:numRef>
              <c:f>'Income Statement'!$B$14:$J$14</c:f>
              <c:numCache>
                <c:formatCode>General</c:formatCode>
                <c:ptCount val="9"/>
                <c:pt idx="0">
                  <c:v>-4181.6000000000004</c:v>
                </c:pt>
                <c:pt idx="1">
                  <c:v>-2842.2</c:v>
                </c:pt>
                <c:pt idx="2">
                  <c:v>-1696.1</c:v>
                </c:pt>
                <c:pt idx="3">
                  <c:v>-2392.9</c:v>
                </c:pt>
                <c:pt idx="4">
                  <c:v>-1775.9</c:v>
                </c:pt>
                <c:pt idx="5">
                  <c:v>-1417</c:v>
                </c:pt>
                <c:pt idx="6">
                  <c:v>-838.9</c:v>
                </c:pt>
                <c:pt idx="7">
                  <c:v>-1390.4</c:v>
                </c:pt>
                <c:pt idx="8">
                  <c:v>-1390.4</c:v>
                </c:pt>
              </c:numCache>
            </c:numRef>
          </c:val>
          <c:extLst>
            <c:ext xmlns:c16="http://schemas.microsoft.com/office/drawing/2014/chart" uri="{C3380CC4-5D6E-409C-BE32-E72D297353CC}">
              <c16:uniqueId val="{00000000-08AC-4008-A4F5-A423909149C1}"/>
            </c:ext>
          </c:extLst>
        </c:ser>
        <c:dLbls>
          <c:dLblPos val="inEnd"/>
          <c:showLegendKey val="0"/>
          <c:showVal val="1"/>
          <c:showCatName val="0"/>
          <c:showSerName val="0"/>
          <c:showPercent val="0"/>
          <c:showBubbleSize val="0"/>
        </c:dLbls>
        <c:gapWidth val="41"/>
        <c:axId val="2062433776"/>
        <c:axId val="2062431856"/>
      </c:barChart>
      <c:catAx>
        <c:axId val="20624337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Financial 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062431856"/>
        <c:crosses val="autoZero"/>
        <c:auto val="1"/>
        <c:lblAlgn val="ctr"/>
        <c:lblOffset val="100"/>
        <c:noMultiLvlLbl val="0"/>
      </c:catAx>
      <c:valAx>
        <c:axId val="206243185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Net Profit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06243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Projections!$A$31</c:f>
              <c:strCache>
                <c:ptCount val="1"/>
                <c:pt idx="0">
                  <c:v>Free Cash Flow</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prstDash val="sysDash"/>
              </a:ln>
              <a:effectLst/>
            </c:spPr>
            <c:trendlineType val="linear"/>
            <c:dispRSqr val="0"/>
            <c:dispEq val="0"/>
          </c:trendline>
          <c:cat>
            <c:numRef>
              <c:extLst>
                <c:ext xmlns:c15="http://schemas.microsoft.com/office/drawing/2012/chart" uri="{02D57815-91ED-43cb-92C2-25804820EDAC}">
                  <c15:fullRef>
                    <c15:sqref>Projections!$B$20:$G$20</c15:sqref>
                  </c15:fullRef>
                </c:ext>
              </c:extLst>
              <c:f>Projections!$C$20:$G$20</c:f>
              <c:numCache>
                <c:formatCode>[$-409]mmm\-yy;@</c:formatCode>
                <c:ptCount val="5"/>
                <c:pt idx="0">
                  <c:v>45717</c:v>
                </c:pt>
                <c:pt idx="1">
                  <c:v>46082</c:v>
                </c:pt>
                <c:pt idx="2">
                  <c:v>46447</c:v>
                </c:pt>
                <c:pt idx="3">
                  <c:v>46813</c:v>
                </c:pt>
                <c:pt idx="4">
                  <c:v>47178</c:v>
                </c:pt>
              </c:numCache>
            </c:numRef>
          </c:cat>
          <c:val>
            <c:numRef>
              <c:extLst>
                <c:ext xmlns:c15="http://schemas.microsoft.com/office/drawing/2012/chart" uri="{02D57815-91ED-43cb-92C2-25804820EDAC}">
                  <c15:fullRef>
                    <c15:sqref>Projections!$B$31:$G$31</c15:sqref>
                  </c15:fullRef>
                </c:ext>
              </c:extLst>
              <c:f>Projections!$C$31:$G$31</c:f>
              <c:numCache>
                <c:formatCode>0.00</c:formatCode>
                <c:ptCount val="5"/>
                <c:pt idx="0">
                  <c:v>139.62400000000002</c:v>
                </c:pt>
                <c:pt idx="1">
                  <c:v>202.45551999999998</c:v>
                </c:pt>
                <c:pt idx="2">
                  <c:v>281.12061759999995</c:v>
                </c:pt>
                <c:pt idx="3">
                  <c:v>379.01220524799999</c:v>
                </c:pt>
                <c:pt idx="4">
                  <c:v>500.1990638502399</c:v>
                </c:pt>
              </c:numCache>
            </c:numRef>
          </c:val>
          <c:extLst>
            <c:ext xmlns:c16="http://schemas.microsoft.com/office/drawing/2014/chart" uri="{C3380CC4-5D6E-409C-BE32-E72D297353CC}">
              <c16:uniqueId val="{00000000-71A1-4B5D-9700-203F411EF444}"/>
            </c:ext>
          </c:extLst>
        </c:ser>
        <c:dLbls>
          <c:dLblPos val="inEnd"/>
          <c:showLegendKey val="0"/>
          <c:showVal val="1"/>
          <c:showCatName val="0"/>
          <c:showSerName val="0"/>
          <c:showPercent val="0"/>
          <c:showBubbleSize val="0"/>
        </c:dLbls>
        <c:gapWidth val="41"/>
        <c:axId val="2064996560"/>
        <c:axId val="2064997520"/>
      </c:barChart>
      <c:dateAx>
        <c:axId val="2064996560"/>
        <c:scaling>
          <c:orientation val="minMax"/>
        </c:scaling>
        <c:delete val="1"/>
        <c:axPos val="b"/>
        <c:numFmt formatCode="[$-409]mmm\-yy;@" sourceLinked="1"/>
        <c:majorTickMark val="out"/>
        <c:minorTickMark val="none"/>
        <c:tickLblPos val="nextTo"/>
        <c:crossAx val="2064997520"/>
        <c:crosses val="autoZero"/>
        <c:auto val="1"/>
        <c:lblOffset val="100"/>
        <c:baseTimeUnit val="years"/>
      </c:dateAx>
      <c:valAx>
        <c:axId val="2064997520"/>
        <c:scaling>
          <c:orientation val="minMax"/>
        </c:scaling>
        <c:delete val="1"/>
        <c:axPos val="l"/>
        <c:numFmt formatCode="General" sourceLinked="1"/>
        <c:majorTickMark val="none"/>
        <c:minorTickMark val="none"/>
        <c:tickLblPos val="nextTo"/>
        <c:crossAx val="2064996560"/>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588818</xdr:colOff>
      <xdr:row>12</xdr:row>
      <xdr:rowOff>25400</xdr:rowOff>
    </xdr:from>
    <xdr:to>
      <xdr:col>22</xdr:col>
      <xdr:colOff>34636</xdr:colOff>
      <xdr:row>32</xdr:row>
      <xdr:rowOff>80818</xdr:rowOff>
    </xdr:to>
    <xdr:graphicFrame macro="">
      <xdr:nvGraphicFramePr>
        <xdr:cNvPr id="3" name="Chart 2">
          <a:extLst>
            <a:ext uri="{FF2B5EF4-FFF2-40B4-BE49-F238E27FC236}">
              <a16:creationId xmlns:a16="http://schemas.microsoft.com/office/drawing/2014/main" id="{C135693A-628C-856C-BA56-A46B020CD4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127000</xdr:colOff>
      <xdr:row>12</xdr:row>
      <xdr:rowOff>1</xdr:rowOff>
    </xdr:from>
    <xdr:to>
      <xdr:col>32</xdr:col>
      <xdr:colOff>588817</xdr:colOff>
      <xdr:row>32</xdr:row>
      <xdr:rowOff>92363</xdr:rowOff>
    </xdr:to>
    <xdr:graphicFrame macro="">
      <xdr:nvGraphicFramePr>
        <xdr:cNvPr id="5" name="Chart 4">
          <a:extLst>
            <a:ext uri="{FF2B5EF4-FFF2-40B4-BE49-F238E27FC236}">
              <a16:creationId xmlns:a16="http://schemas.microsoft.com/office/drawing/2014/main" id="{5AAE3942-6E26-4D00-A659-10D5EF876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1089024</xdr:colOff>
      <xdr:row>36</xdr:row>
      <xdr:rowOff>98424</xdr:rowOff>
    </xdr:from>
    <xdr:to>
      <xdr:col>8</xdr:col>
      <xdr:colOff>387349</xdr:colOff>
      <xdr:row>53</xdr:row>
      <xdr:rowOff>44449</xdr:rowOff>
    </xdr:to>
    <xdr:graphicFrame macro="">
      <xdr:nvGraphicFramePr>
        <xdr:cNvPr id="3" name="Chart 2">
          <a:extLst>
            <a:ext uri="{FF2B5EF4-FFF2-40B4-BE49-F238E27FC236}">
              <a16:creationId xmlns:a16="http://schemas.microsoft.com/office/drawing/2014/main" id="{8F7E43C8-E6C2-9114-23A7-4CE67C232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4c0877a5f6f3f923/Desktop/Praject/Paytm/One%2097.xlsx" TargetMode="External"/><Relationship Id="rId1" Type="http://schemas.openxmlformats.org/officeDocument/2006/relationships/externalLinkPath" Target="One%209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fit &amp; Loss"/>
      <sheetName val="Quarters"/>
      <sheetName val="Balance Sheet"/>
      <sheetName val="Cash Flow"/>
      <sheetName val="Customization"/>
      <sheetName val="Data Sheet"/>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EE0A4-3AA4-4414-AFAA-CA045A05B06A}">
  <dimension ref="A1:P28"/>
  <sheetViews>
    <sheetView zoomScale="55" zoomScaleNormal="55" workbookViewId="0">
      <selection activeCell="P3" sqref="P3"/>
    </sheetView>
  </sheetViews>
  <sheetFormatPr defaultRowHeight="14.5" x14ac:dyDescent="0.35"/>
  <cols>
    <col min="1" max="1" width="14.453125" bestFit="1" customWidth="1"/>
    <col min="2" max="2" width="10" bestFit="1" customWidth="1"/>
    <col min="3" max="3" width="13.81640625" bestFit="1" customWidth="1"/>
    <col min="4" max="6" width="9.90625" bestFit="1" customWidth="1"/>
    <col min="7" max="7" width="10.36328125" bestFit="1" customWidth="1"/>
    <col min="8" max="8" width="9.26953125" bestFit="1" customWidth="1"/>
    <col min="9" max="9" width="8.81640625" bestFit="1" customWidth="1"/>
    <col min="10" max="10" width="10.36328125" bestFit="1" customWidth="1"/>
  </cols>
  <sheetData>
    <row r="1" spans="1:16" x14ac:dyDescent="0.35">
      <c r="A1" s="27" t="s">
        <v>5</v>
      </c>
      <c r="B1" s="27"/>
      <c r="C1" s="27"/>
      <c r="D1" s="27"/>
    </row>
    <row r="4" spans="1:16" x14ac:dyDescent="0.35">
      <c r="A4" s="5" t="s">
        <v>83</v>
      </c>
      <c r="B4" s="5">
        <v>43525</v>
      </c>
      <c r="C4" s="5">
        <v>43891</v>
      </c>
      <c r="D4" s="5">
        <v>44256</v>
      </c>
      <c r="E4" s="5">
        <v>44621</v>
      </c>
      <c r="F4" s="5">
        <v>44986</v>
      </c>
      <c r="G4" s="5">
        <v>45352</v>
      </c>
      <c r="H4" s="5" t="s">
        <v>50</v>
      </c>
      <c r="I4" s="5" t="s">
        <v>51</v>
      </c>
      <c r="J4" s="5" t="s">
        <v>52</v>
      </c>
      <c r="M4" s="9"/>
      <c r="N4" s="9"/>
      <c r="O4" s="9"/>
    </row>
    <row r="5" spans="1:16" x14ac:dyDescent="0.35">
      <c r="A5" s="10" t="s">
        <v>8</v>
      </c>
      <c r="B5" s="11">
        <v>3224.1</v>
      </c>
      <c r="C5" s="11">
        <v>3278.7</v>
      </c>
      <c r="D5" s="11">
        <v>2801.3</v>
      </c>
      <c r="E5" s="11">
        <v>4974.2</v>
      </c>
      <c r="F5" s="11">
        <v>7990.3</v>
      </c>
      <c r="G5" s="11">
        <v>9977.7999999999993</v>
      </c>
      <c r="H5" s="11">
        <v>1502</v>
      </c>
      <c r="I5">
        <f>G5+I26*G5</f>
        <v>15237.94911158094</v>
      </c>
      <c r="J5">
        <f>G5+J26*G5</f>
        <v>12459.278859999999</v>
      </c>
    </row>
    <row r="6" spans="1:16" x14ac:dyDescent="0.35">
      <c r="A6" t="s">
        <v>82</v>
      </c>
      <c r="B6" s="11"/>
      <c r="C6" s="15">
        <f>(C5-B5)/C5</f>
        <v>1.6652941714703971E-2</v>
      </c>
      <c r="D6" s="15">
        <f t="shared" ref="D6:G6" si="0">(D5-C5)/D5</f>
        <v>-0.17042087602184686</v>
      </c>
      <c r="E6" s="15">
        <f t="shared" si="0"/>
        <v>0.43683406376904821</v>
      </c>
      <c r="F6" s="15">
        <f t="shared" si="0"/>
        <v>0.3774701825963982</v>
      </c>
      <c r="G6" s="15">
        <f t="shared" si="0"/>
        <v>0.19919220669887142</v>
      </c>
      <c r="H6" s="11"/>
    </row>
    <row r="7" spans="1:16" x14ac:dyDescent="0.35">
      <c r="A7" t="s">
        <v>24</v>
      </c>
      <c r="B7" s="12">
        <f>SUM('Data Sheet'!F14:F20)</f>
        <v>7591.9000000000005</v>
      </c>
      <c r="C7" s="12">
        <f>SUM('Data Sheet'!G14:G20)</f>
        <v>5964</v>
      </c>
      <c r="D7" s="12">
        <f>SUM('Data Sheet'!H14:H20)</f>
        <v>4639.6000000000004</v>
      </c>
      <c r="E7" s="12">
        <f>SUM('Data Sheet'!I14:I20)</f>
        <v>7357.8000000000011</v>
      </c>
      <c r="F7" s="12">
        <f>SUM('Data Sheet'!J14:J20)</f>
        <v>9634</v>
      </c>
      <c r="G7" s="12">
        <f>SUM('Data Sheet'!K14:K20)</f>
        <v>15149.400000000001</v>
      </c>
      <c r="H7" s="12">
        <f>'Data Sheet'!K34</f>
        <v>2295.1</v>
      </c>
      <c r="I7">
        <f>I5</f>
        <v>15237.94911158094</v>
      </c>
      <c r="J7">
        <f>J5</f>
        <v>12459.278859999999</v>
      </c>
      <c r="L7" s="28" t="s">
        <v>67</v>
      </c>
      <c r="M7" s="28"/>
      <c r="N7" s="28"/>
      <c r="O7" s="28"/>
      <c r="P7" s="28"/>
    </row>
    <row r="8" spans="1:16" x14ac:dyDescent="0.35">
      <c r="A8" s="10" t="s">
        <v>25</v>
      </c>
      <c r="B8" s="12">
        <f>B5-B7</f>
        <v>-4367.8000000000011</v>
      </c>
      <c r="C8" s="12">
        <f>C5-C7</f>
        <v>-2685.3</v>
      </c>
      <c r="D8" s="12">
        <f>D5-D7</f>
        <v>-1838.3000000000002</v>
      </c>
      <c r="E8" s="12">
        <f>E5-E7</f>
        <v>-2383.6000000000013</v>
      </c>
      <c r="F8" s="12">
        <f t="shared" ref="F8:G8" si="1">F5-F7</f>
        <v>-1643.6999999999998</v>
      </c>
      <c r="G8" s="12">
        <f t="shared" si="1"/>
        <v>-5171.6000000000022</v>
      </c>
      <c r="H8" s="12">
        <f>H5-H7</f>
        <v>-793.09999999999991</v>
      </c>
      <c r="I8" s="12">
        <f>I5*I27</f>
        <v>0</v>
      </c>
      <c r="J8" s="12">
        <f>J5*J27</f>
        <v>0</v>
      </c>
    </row>
    <row r="9" spans="1:16" x14ac:dyDescent="0.35">
      <c r="A9" t="s">
        <v>16</v>
      </c>
      <c r="B9">
        <v>279.8</v>
      </c>
      <c r="C9">
        <v>-44.8</v>
      </c>
      <c r="D9">
        <v>356.3</v>
      </c>
      <c r="E9">
        <v>287.7</v>
      </c>
      <c r="F9">
        <v>409.7</v>
      </c>
      <c r="G9">
        <v>541.20000000000005</v>
      </c>
      <c r="H9">
        <f>'Data Sheet'!K35</f>
        <v>137.5</v>
      </c>
      <c r="I9">
        <f>G9</f>
        <v>541.20000000000005</v>
      </c>
      <c r="J9">
        <f>G9</f>
        <v>541.20000000000005</v>
      </c>
      <c r="L9" t="s">
        <v>68</v>
      </c>
    </row>
    <row r="10" spans="1:16" x14ac:dyDescent="0.35">
      <c r="A10" t="s">
        <v>17</v>
      </c>
      <c r="B10">
        <v>111.6</v>
      </c>
      <c r="C10">
        <v>174.5</v>
      </c>
      <c r="D10">
        <v>178.5</v>
      </c>
      <c r="E10">
        <v>247.3</v>
      </c>
      <c r="F10">
        <v>485.3</v>
      </c>
      <c r="G10">
        <v>735.7</v>
      </c>
      <c r="H10">
        <f>'Data Sheet'!K36</f>
        <v>178.4</v>
      </c>
      <c r="I10">
        <f>G10</f>
        <v>735.7</v>
      </c>
      <c r="J10">
        <f>G10</f>
        <v>735.7</v>
      </c>
    </row>
    <row r="11" spans="1:16" x14ac:dyDescent="0.35">
      <c r="A11" t="s">
        <v>18</v>
      </c>
      <c r="B11">
        <v>37.799999999999997</v>
      </c>
      <c r="C11">
        <v>53.6</v>
      </c>
      <c r="D11">
        <v>37.799999999999997</v>
      </c>
      <c r="E11">
        <v>41.9</v>
      </c>
      <c r="F11">
        <v>23.6</v>
      </c>
      <c r="G11">
        <v>24.3</v>
      </c>
      <c r="H11">
        <f>'Data Sheet'!K37</f>
        <v>4.2</v>
      </c>
      <c r="I11">
        <f>G11</f>
        <v>24.3</v>
      </c>
      <c r="J11">
        <f>G11</f>
        <v>24.3</v>
      </c>
    </row>
    <row r="12" spans="1:16" x14ac:dyDescent="0.35">
      <c r="A12" t="s">
        <v>19</v>
      </c>
      <c r="B12">
        <v>-4237.3999999999996</v>
      </c>
      <c r="C12">
        <v>-2958.2</v>
      </c>
      <c r="D12">
        <v>-1698.3</v>
      </c>
      <c r="E12">
        <v>-2385.1</v>
      </c>
      <c r="F12">
        <v>-1742.9</v>
      </c>
      <c r="G12">
        <v>-1390.4</v>
      </c>
      <c r="H12">
        <f>'Data Sheet'!K38</f>
        <v>-838.6</v>
      </c>
      <c r="I12">
        <f>G12</f>
        <v>-1390.4</v>
      </c>
      <c r="J12">
        <f>G12</f>
        <v>-1390.4</v>
      </c>
    </row>
    <row r="13" spans="1:16" x14ac:dyDescent="0.35">
      <c r="A13" t="s">
        <v>20</v>
      </c>
      <c r="B13">
        <v>-6.5</v>
      </c>
      <c r="C13">
        <v>-15.8</v>
      </c>
      <c r="D13">
        <v>2.7</v>
      </c>
      <c r="E13">
        <v>11.3</v>
      </c>
      <c r="F13">
        <v>33.6</v>
      </c>
      <c r="G13">
        <v>32</v>
      </c>
      <c r="H13">
        <f>'Data Sheet'!K39</f>
        <v>1.5</v>
      </c>
      <c r="I13" s="15">
        <v>0</v>
      </c>
      <c r="J13" s="15">
        <v>0</v>
      </c>
    </row>
    <row r="14" spans="1:16" x14ac:dyDescent="0.35">
      <c r="A14" s="10" t="s">
        <v>21</v>
      </c>
      <c r="B14">
        <v>-4181.6000000000004</v>
      </c>
      <c r="C14">
        <v>-2842.2</v>
      </c>
      <c r="D14">
        <v>-1696.1</v>
      </c>
      <c r="E14">
        <v>-2392.9</v>
      </c>
      <c r="F14">
        <v>-1775.9</v>
      </c>
      <c r="G14">
        <v>-1417</v>
      </c>
      <c r="H14">
        <f>'Data Sheet'!K40</f>
        <v>-838.9</v>
      </c>
      <c r="I14">
        <f>I12-I13*I12</f>
        <v>-1390.4</v>
      </c>
      <c r="J14">
        <f>J12-J13*J12</f>
        <v>-1390.4</v>
      </c>
    </row>
    <row r="15" spans="1:16" x14ac:dyDescent="0.35">
      <c r="A15" t="s">
        <v>53</v>
      </c>
      <c r="B15" s="11">
        <f>IF('Data Sheet'!F84&gt;0,'Data Sheet'!F26/'Data Sheet'!F84,0)</f>
        <v>-727.2347826086957</v>
      </c>
      <c r="C15" s="11">
        <f>IF('Data Sheet'!G84&gt;0,'Data Sheet'!G26/'Data Sheet'!G84,0)</f>
        <v>-470.56291390728472</v>
      </c>
      <c r="D15" s="11">
        <f>IF('Data Sheet'!H84&gt;0,'Data Sheet'!H26/'Data Sheet'!H84,0)</f>
        <v>-280.34710743801651</v>
      </c>
      <c r="E15" s="11">
        <f>IF('Data Sheet'!I84&gt;0,'Data Sheet'!I26/'Data Sheet'!I84,0)</f>
        <v>-36.89330866481653</v>
      </c>
      <c r="F15" s="11">
        <f>IF('Data Sheet'!J84&gt;0,'Data Sheet'!J26/'Data Sheet'!J84,0)</f>
        <v>-28.019880088355947</v>
      </c>
      <c r="G15" s="11">
        <f>IF('Data Sheet'!K84&gt;0,'Data Sheet'!K26/'Data Sheet'!K84,0)</f>
        <v>-22.300912810827825</v>
      </c>
      <c r="H15" s="11">
        <f>IF('Data Sheet'!$K$84&gt;0,'Data Sheet'!$K$40/'Data Sheet'!$K$84,0)</f>
        <v>-13.202706956248033</v>
      </c>
      <c r="I15" s="11">
        <f>IF('Data Sheet'!$K$84&gt;0,'Data Sheet'!$K$40/'Data Sheet'!$K$84,0)</f>
        <v>-13.202706956248033</v>
      </c>
      <c r="J15" s="11">
        <f>IF('Data Sheet'!$K$84&gt;0,'Data Sheet'!$K$40/'Data Sheet'!$K$84,0)</f>
        <v>-13.202706956248033</v>
      </c>
    </row>
    <row r="16" spans="1:16" x14ac:dyDescent="0.35">
      <c r="A16" t="s">
        <v>54</v>
      </c>
      <c r="B16" t="str">
        <f>IF(B17&gt;0,B17/B15,"")</f>
        <v/>
      </c>
      <c r="C16" t="str">
        <f t="shared" ref="C16:G16" si="2">IF(C17&gt;0,C17/C15,"")</f>
        <v/>
      </c>
      <c r="D16" t="str">
        <f t="shared" si="2"/>
        <v/>
      </c>
      <c r="E16" s="11">
        <f t="shared" si="2"/>
        <v>-14.323735634585649</v>
      </c>
      <c r="F16" s="11">
        <f t="shared" si="2"/>
        <v>-22.726721099160986</v>
      </c>
      <c r="G16" s="11">
        <f t="shared" si="2"/>
        <v>-18.05531474947071</v>
      </c>
      <c r="H16" s="11">
        <f t="shared" ref="H16" si="3">IF(H17&gt;0,H17/H15,"")</f>
        <v>-39.007152223149362</v>
      </c>
      <c r="I16" s="11" t="str">
        <f t="shared" ref="I16" si="4">IF(I17&gt;0,I17/I15,"")</f>
        <v/>
      </c>
      <c r="J16" s="11" t="str">
        <f t="shared" ref="J16" si="5">IF(J17&gt;0,J17/J15,"")</f>
        <v/>
      </c>
    </row>
    <row r="17" spans="1:10" x14ac:dyDescent="0.35">
      <c r="A17" s="10" t="s">
        <v>55</v>
      </c>
      <c r="B17" s="12">
        <f>'Data Sheet'!F81</f>
        <v>0</v>
      </c>
      <c r="C17" s="12">
        <f>'Data Sheet'!G81</f>
        <v>0</v>
      </c>
      <c r="D17" s="12">
        <f>'Data Sheet'!H81</f>
        <v>0</v>
      </c>
      <c r="E17" s="12">
        <f>'Data Sheet'!I81</f>
        <v>528.45000000000005</v>
      </c>
      <c r="F17" s="12">
        <f>'Data Sheet'!J81</f>
        <v>636.79999999999995</v>
      </c>
      <c r="G17" s="12">
        <f>'Data Sheet'!K81</f>
        <v>402.65</v>
      </c>
      <c r="H17">
        <v>515</v>
      </c>
      <c r="I17" s="16"/>
      <c r="J17" s="17"/>
    </row>
    <row r="19" spans="1:10" x14ac:dyDescent="0.35">
      <c r="A19" s="10" t="s">
        <v>56</v>
      </c>
    </row>
    <row r="20" spans="1:10" x14ac:dyDescent="0.35">
      <c r="A20" t="s">
        <v>57</v>
      </c>
      <c r="B20" s="13">
        <f>IF('[1]Data Sheet'!B31&gt;0, '[1]Data Sheet'!B32/'[1]Data Sheet'!B31, 0)</f>
        <v>0</v>
      </c>
      <c r="C20" s="13">
        <f>IF('[1]Data Sheet'!C31&gt;0, '[1]Data Sheet'!C32/'[1]Data Sheet'!C31, 0)</f>
        <v>0</v>
      </c>
      <c r="D20" s="13">
        <f>IF('[1]Data Sheet'!D31&gt;0, '[1]Data Sheet'!D32/'[1]Data Sheet'!D31, 0)</f>
        <v>0</v>
      </c>
      <c r="E20" s="13">
        <f>IF('[1]Data Sheet'!E31&gt;0, '[1]Data Sheet'!E32/'[1]Data Sheet'!E31, 0)</f>
        <v>0</v>
      </c>
      <c r="F20" s="13">
        <f>IF('[1]Data Sheet'!F31&gt;0, '[1]Data Sheet'!F32/'[1]Data Sheet'!F31, 0)</f>
        <v>0</v>
      </c>
      <c r="G20" s="13">
        <f>IF('[1]Data Sheet'!G31&gt;0, '[1]Data Sheet'!G32/'[1]Data Sheet'!G31, 0)</f>
        <v>0</v>
      </c>
    </row>
    <row r="21" spans="1:10" x14ac:dyDescent="0.35">
      <c r="A21" t="s">
        <v>58</v>
      </c>
      <c r="B21" s="13">
        <f t="shared" ref="B21:H21" si="6">IF(B8&gt;0,B8/B5,0)</f>
        <v>0</v>
      </c>
      <c r="C21" s="13">
        <f t="shared" si="6"/>
        <v>0</v>
      </c>
      <c r="D21" s="13">
        <f t="shared" si="6"/>
        <v>0</v>
      </c>
      <c r="E21" s="13">
        <f t="shared" si="6"/>
        <v>0</v>
      </c>
      <c r="F21" s="13">
        <f t="shared" si="6"/>
        <v>0</v>
      </c>
      <c r="G21" s="13">
        <f t="shared" si="6"/>
        <v>0</v>
      </c>
      <c r="H21" s="13">
        <f t="shared" si="6"/>
        <v>0</v>
      </c>
    </row>
    <row r="25" spans="1:10" x14ac:dyDescent="0.35">
      <c r="A25" s="5"/>
      <c r="B25" s="5"/>
      <c r="C25" s="5" t="s">
        <v>59</v>
      </c>
      <c r="D25" s="5"/>
      <c r="E25" s="5"/>
      <c r="F25" s="5" t="s">
        <v>60</v>
      </c>
      <c r="G25" s="5" t="s">
        <v>61</v>
      </c>
      <c r="H25" s="8" t="s">
        <v>62</v>
      </c>
      <c r="I25" s="8" t="s">
        <v>63</v>
      </c>
      <c r="J25" s="8" t="s">
        <v>64</v>
      </c>
    </row>
    <row r="26" spans="1:10" x14ac:dyDescent="0.35">
      <c r="C26" t="s">
        <v>65</v>
      </c>
      <c r="D26" s="13"/>
      <c r="E26" s="13"/>
      <c r="F26" s="13">
        <f>IF(B5=0,"",POWER($G5/B5,1/5)-1)</f>
        <v>0.25350265504788339</v>
      </c>
      <c r="G26" s="13">
        <f>IF(D5=0,"",POWER($G5/D5,1/3)-1)</f>
        <v>0.52718526244071251</v>
      </c>
      <c r="H26" s="13">
        <v>0.2487</v>
      </c>
      <c r="I26" s="14">
        <f>MAX(G26:H26)</f>
        <v>0.52718526244071251</v>
      </c>
      <c r="J26" s="14">
        <f>MIN(D26:H26)</f>
        <v>0.2487</v>
      </c>
    </row>
    <row r="27" spans="1:10" x14ac:dyDescent="0.35">
      <c r="C27" t="s">
        <v>58</v>
      </c>
      <c r="D27" s="13"/>
      <c r="E27" s="13"/>
      <c r="F27" s="13">
        <f t="shared" ref="F27:G27" si="7">F22</f>
        <v>0</v>
      </c>
      <c r="G27" s="13">
        <f t="shared" si="7"/>
        <v>0</v>
      </c>
      <c r="H27" s="13">
        <f>H22</f>
        <v>0</v>
      </c>
      <c r="I27" s="14">
        <f>MAX(G27:H27)</f>
        <v>0</v>
      </c>
      <c r="J27" s="14">
        <f>MIN(D27:H27)</f>
        <v>0</v>
      </c>
    </row>
    <row r="28" spans="1:10" x14ac:dyDescent="0.35">
      <c r="C28" t="s">
        <v>66</v>
      </c>
      <c r="D28" s="6"/>
      <c r="E28" s="6"/>
      <c r="F28" s="6" t="str">
        <f>IF(ISERROR(AVERAGEIF(B16:$G16,"&gt;0")),"",AVERAGEIF(B15:$G15,"&gt;0"))</f>
        <v/>
      </c>
      <c r="G28" s="6" t="str">
        <f>IF(ISERROR(AVERAGEIF(C16:$G16,"&gt;0")),"",AVERAGEIF(C15:$G15,"&gt;0"))</f>
        <v/>
      </c>
      <c r="H28" s="6">
        <f>H16</f>
        <v>-39.007152223149362</v>
      </c>
      <c r="I28" s="6">
        <f>MAX(F28:H28)</f>
        <v>-39.007152223149362</v>
      </c>
      <c r="J28" s="6">
        <f>MIN(F28:H28)</f>
        <v>-39.007152223149362</v>
      </c>
    </row>
  </sheetData>
  <mergeCells count="2">
    <mergeCell ref="A1:D1"/>
    <mergeCell ref="L7:P7"/>
  </mergeCells>
  <pageMargins left="0.7" right="0.7" top="0.75" bottom="0.75" header="0.3" footer="0.3"/>
  <ignoredErrors>
    <ignoredError sqref="G26" 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95EC0-2E79-49BE-AC83-CAB4571A3A9F}">
  <dimension ref="A1:K34"/>
  <sheetViews>
    <sheetView zoomScale="70" zoomScaleNormal="70" workbookViewId="0">
      <selection sqref="A1:D1"/>
    </sheetView>
  </sheetViews>
  <sheetFormatPr defaultRowHeight="14.5" x14ac:dyDescent="0.35"/>
  <cols>
    <col min="1" max="1" width="22.26953125" bestFit="1" customWidth="1"/>
    <col min="4" max="8" width="14.26953125" bestFit="1" customWidth="1"/>
    <col min="9" max="10" width="15.26953125" bestFit="1" customWidth="1"/>
    <col min="11" max="11" width="10.26953125" bestFit="1" customWidth="1"/>
  </cols>
  <sheetData>
    <row r="1" spans="1:11" x14ac:dyDescent="0.35">
      <c r="A1" s="27" t="s">
        <v>5</v>
      </c>
      <c r="B1" s="27"/>
      <c r="C1" s="27"/>
      <c r="D1" s="27"/>
    </row>
    <row r="4" spans="1:11" x14ac:dyDescent="0.35">
      <c r="A4" s="12" t="str">
        <f>'Data Sheet'!A46</f>
        <v>BALANCE SHEET</v>
      </c>
    </row>
    <row r="5" spans="1:11" x14ac:dyDescent="0.35">
      <c r="A5" s="4" t="s">
        <v>7</v>
      </c>
      <c r="B5" s="5"/>
      <c r="C5" s="5"/>
      <c r="D5" s="5">
        <v>42094</v>
      </c>
      <c r="E5" s="5">
        <v>42460</v>
      </c>
      <c r="F5" s="5">
        <v>43555</v>
      </c>
      <c r="G5" s="5">
        <v>43921</v>
      </c>
      <c r="H5" s="5">
        <v>44286</v>
      </c>
      <c r="I5" s="5">
        <v>44651</v>
      </c>
      <c r="J5" s="5">
        <v>45016</v>
      </c>
      <c r="K5" s="5">
        <v>45382</v>
      </c>
    </row>
    <row r="6" spans="1:11" x14ac:dyDescent="0.35">
      <c r="A6" s="6" t="s">
        <v>27</v>
      </c>
      <c r="D6">
        <f>'Data Sheet'!D48</f>
        <v>30.24</v>
      </c>
      <c r="E6">
        <f>'Data Sheet'!E48</f>
        <v>46.23</v>
      </c>
      <c r="F6">
        <f>'Data Sheet'!F48</f>
        <v>57.5</v>
      </c>
      <c r="G6">
        <f>'Data Sheet'!G48</f>
        <v>60.4</v>
      </c>
      <c r="H6">
        <f>'Data Sheet'!H48</f>
        <v>60.5</v>
      </c>
      <c r="I6">
        <f>'Data Sheet'!I48</f>
        <v>64.900000000000006</v>
      </c>
      <c r="J6">
        <f>'Data Sheet'!J48</f>
        <v>63.4</v>
      </c>
      <c r="K6">
        <f>'Data Sheet'!K48</f>
        <v>63.6</v>
      </c>
    </row>
    <row r="7" spans="1:11" x14ac:dyDescent="0.35">
      <c r="A7" s="6" t="s">
        <v>28</v>
      </c>
      <c r="D7">
        <f>'Data Sheet'!D49</f>
        <v>354.32</v>
      </c>
      <c r="E7">
        <f>'Data Sheet'!E49</f>
        <v>2751.39</v>
      </c>
      <c r="F7">
        <f>'Data Sheet'!F49</f>
        <v>5667.4</v>
      </c>
      <c r="G7">
        <f>'Data Sheet'!G49</f>
        <v>8044.8</v>
      </c>
      <c r="H7">
        <f>'Data Sheet'!H49</f>
        <v>6474.3</v>
      </c>
      <c r="I7">
        <f>'Data Sheet'!I49</f>
        <v>14086.7</v>
      </c>
      <c r="J7">
        <f>'Data Sheet'!J49</f>
        <v>12952.2</v>
      </c>
      <c r="K7">
        <f>'Data Sheet'!K49</f>
        <v>13263</v>
      </c>
    </row>
    <row r="8" spans="1:11" x14ac:dyDescent="0.35">
      <c r="A8" s="6" t="s">
        <v>29</v>
      </c>
      <c r="D8">
        <f>'Data Sheet'!D50</f>
        <v>0</v>
      </c>
      <c r="E8">
        <f>'Data Sheet'!E50</f>
        <v>14.98</v>
      </c>
      <c r="F8">
        <f>'Data Sheet'!F50</f>
        <v>932.3</v>
      </c>
      <c r="G8">
        <f>'Data Sheet'!G50</f>
        <v>428.1</v>
      </c>
      <c r="H8">
        <f>'Data Sheet'!H50</f>
        <v>612</v>
      </c>
      <c r="I8">
        <f>'Data Sheet'!I50</f>
        <v>221.5</v>
      </c>
      <c r="J8">
        <f>'Data Sheet'!J50</f>
        <v>223.3</v>
      </c>
      <c r="K8">
        <f>'Data Sheet'!K50</f>
        <v>176.6</v>
      </c>
    </row>
    <row r="9" spans="1:11" x14ac:dyDescent="0.35">
      <c r="A9" s="6" t="s">
        <v>30</v>
      </c>
      <c r="D9">
        <f>'Data Sheet'!D51</f>
        <v>316.37</v>
      </c>
      <c r="E9">
        <f>'Data Sheet'!E51</f>
        <v>637.46</v>
      </c>
      <c r="F9">
        <f>'Data Sheet'!F51</f>
        <v>2106.6</v>
      </c>
      <c r="G9">
        <f>'Data Sheet'!G51</f>
        <v>1768.7</v>
      </c>
      <c r="H9">
        <f>'Data Sheet'!H51</f>
        <v>2003.9</v>
      </c>
      <c r="I9">
        <f>'Data Sheet'!I51</f>
        <v>3618.3</v>
      </c>
      <c r="J9">
        <f>'Data Sheet'!J51</f>
        <v>4726.8999999999996</v>
      </c>
      <c r="K9">
        <f>'Data Sheet'!K51</f>
        <v>3635.9</v>
      </c>
    </row>
    <row r="10" spans="1:11" ht="14" customHeight="1" x14ac:dyDescent="0.35">
      <c r="A10" s="2" t="s">
        <v>31</v>
      </c>
      <c r="D10">
        <f>'Data Sheet'!D52</f>
        <v>700.93</v>
      </c>
      <c r="E10">
        <f>'Data Sheet'!E52</f>
        <v>3450.06</v>
      </c>
      <c r="F10">
        <f>'Data Sheet'!F52</f>
        <v>8763.7999999999993</v>
      </c>
      <c r="G10">
        <f>'Data Sheet'!G52</f>
        <v>10302</v>
      </c>
      <c r="H10">
        <f>'Data Sheet'!H52</f>
        <v>9150.7000000000007</v>
      </c>
      <c r="I10">
        <f>'Data Sheet'!I52</f>
        <v>17991.400000000001</v>
      </c>
      <c r="J10">
        <f>'Data Sheet'!J52</f>
        <v>17965.8</v>
      </c>
      <c r="K10">
        <f>'Data Sheet'!K52</f>
        <v>17139.099999999999</v>
      </c>
    </row>
    <row r="11" spans="1:11" ht="14" customHeight="1" x14ac:dyDescent="0.35">
      <c r="A11" s="2"/>
    </row>
    <row r="12" spans="1:11" x14ac:dyDescent="0.35">
      <c r="A12" s="6" t="s">
        <v>32</v>
      </c>
      <c r="D12">
        <f>'Data Sheet'!D53</f>
        <v>47.48</v>
      </c>
      <c r="E12">
        <f>'Data Sheet'!E53</f>
        <v>81.010000000000005</v>
      </c>
      <c r="F12">
        <f>'Data Sheet'!F53</f>
        <v>841.1</v>
      </c>
      <c r="G12">
        <f>'Data Sheet'!G53</f>
        <v>593.5</v>
      </c>
      <c r="H12">
        <f>'Data Sheet'!H53</f>
        <v>491.3</v>
      </c>
      <c r="I12">
        <f>'Data Sheet'!I53</f>
        <v>913.9</v>
      </c>
      <c r="J12">
        <f>'Data Sheet'!J53</f>
        <v>1208.8</v>
      </c>
      <c r="K12">
        <f>'Data Sheet'!K53</f>
        <v>1250.9000000000001</v>
      </c>
    </row>
    <row r="13" spans="1:11" x14ac:dyDescent="0.35">
      <c r="A13" s="6" t="s">
        <v>33</v>
      </c>
      <c r="D13">
        <f>'Data Sheet'!D54</f>
        <v>11.04</v>
      </c>
      <c r="E13">
        <f>'Data Sheet'!E54</f>
        <v>58.81</v>
      </c>
      <c r="F13">
        <f>'Data Sheet'!F54</f>
        <v>55.6</v>
      </c>
      <c r="G13">
        <f>'Data Sheet'!G54</f>
        <v>14.7</v>
      </c>
      <c r="H13">
        <f>'Data Sheet'!H54</f>
        <v>23.6</v>
      </c>
      <c r="I13">
        <f>'Data Sheet'!I54</f>
        <v>12</v>
      </c>
      <c r="J13">
        <f>'Data Sheet'!J54</f>
        <v>11.4</v>
      </c>
      <c r="K13">
        <f>'Data Sheet'!K54</f>
        <v>10</v>
      </c>
    </row>
    <row r="14" spans="1:11" x14ac:dyDescent="0.35">
      <c r="A14" s="6" t="s">
        <v>34</v>
      </c>
      <c r="D14">
        <f>'Data Sheet'!D55</f>
        <v>112.12</v>
      </c>
      <c r="E14">
        <f>'Data Sheet'!E55</f>
        <v>2308.37</v>
      </c>
      <c r="F14">
        <f>'Data Sheet'!F55</f>
        <v>2849.2</v>
      </c>
      <c r="G14">
        <f>'Data Sheet'!G55</f>
        <v>3740</v>
      </c>
      <c r="H14">
        <f>'Data Sheet'!H55</f>
        <v>413</v>
      </c>
      <c r="I14">
        <f>'Data Sheet'!I55</f>
        <v>1229.5</v>
      </c>
      <c r="J14">
        <f>'Data Sheet'!J55</f>
        <v>2697.1</v>
      </c>
      <c r="K14">
        <f>'Data Sheet'!K55</f>
        <v>4628.3</v>
      </c>
    </row>
    <row r="15" spans="1:11" x14ac:dyDescent="0.35">
      <c r="A15" s="6" t="s">
        <v>35</v>
      </c>
      <c r="D15">
        <f>'Data Sheet'!D56</f>
        <v>530.29</v>
      </c>
      <c r="E15">
        <f>'Data Sheet'!E56</f>
        <v>1001.87</v>
      </c>
      <c r="F15">
        <f>'Data Sheet'!F56</f>
        <v>5017.8999999999996</v>
      </c>
      <c r="G15">
        <f>'Data Sheet'!G56</f>
        <v>5953.8</v>
      </c>
      <c r="H15">
        <f>'Data Sheet'!H56</f>
        <v>8222.7999999999993</v>
      </c>
      <c r="I15">
        <f>'Data Sheet'!I56</f>
        <v>15836</v>
      </c>
      <c r="J15">
        <f>'Data Sheet'!J56</f>
        <v>14048.5</v>
      </c>
      <c r="K15">
        <f>'Data Sheet'!K56</f>
        <v>11249.9</v>
      </c>
    </row>
    <row r="16" spans="1:11" x14ac:dyDescent="0.35">
      <c r="A16" s="2" t="s">
        <v>31</v>
      </c>
      <c r="D16">
        <f>'Data Sheet'!D57</f>
        <v>700.93</v>
      </c>
      <c r="E16">
        <f>'Data Sheet'!E57</f>
        <v>3450.06</v>
      </c>
      <c r="F16">
        <f>'Data Sheet'!F57</f>
        <v>8763.7999999999993</v>
      </c>
      <c r="G16">
        <f>'Data Sheet'!G57</f>
        <v>10302</v>
      </c>
      <c r="H16">
        <f>'Data Sheet'!H57</f>
        <v>9150.7000000000007</v>
      </c>
      <c r="I16">
        <f>'Data Sheet'!I57</f>
        <v>17991.400000000001</v>
      </c>
      <c r="J16">
        <f>'Data Sheet'!J57</f>
        <v>17965.8</v>
      </c>
      <c r="K16">
        <f>'Data Sheet'!K57</f>
        <v>17139.099999999999</v>
      </c>
    </row>
    <row r="17" spans="1:11" x14ac:dyDescent="0.35">
      <c r="A17" s="2"/>
    </row>
    <row r="19" spans="1:11" x14ac:dyDescent="0.35">
      <c r="A19" t="s">
        <v>69</v>
      </c>
      <c r="D19">
        <f>D15-D9</f>
        <v>213.91999999999996</v>
      </c>
      <c r="E19">
        <f t="shared" ref="E19:K19" si="0">E15-E9</f>
        <v>364.40999999999997</v>
      </c>
      <c r="F19">
        <f t="shared" si="0"/>
        <v>2911.2999999999997</v>
      </c>
      <c r="G19">
        <f t="shared" si="0"/>
        <v>4185.1000000000004</v>
      </c>
      <c r="H19">
        <f t="shared" si="0"/>
        <v>6218.9</v>
      </c>
      <c r="I19">
        <f t="shared" si="0"/>
        <v>12217.7</v>
      </c>
      <c r="J19">
        <f t="shared" si="0"/>
        <v>9321.6</v>
      </c>
      <c r="K19">
        <f t="shared" si="0"/>
        <v>7614</v>
      </c>
    </row>
    <row r="20" spans="1:11" x14ac:dyDescent="0.35">
      <c r="A20" s="6" t="s">
        <v>70</v>
      </c>
      <c r="D20">
        <f>'Data Sheet'!D58</f>
        <v>88.87</v>
      </c>
      <c r="E20">
        <f>'Data Sheet'!E58</f>
        <v>125.05</v>
      </c>
      <c r="F20">
        <f>'Data Sheet'!F58</f>
        <v>258.39999999999998</v>
      </c>
      <c r="G20">
        <f>'Data Sheet'!G58</f>
        <v>301</v>
      </c>
      <c r="H20">
        <f>'Data Sheet'!H58</f>
        <v>471.3</v>
      </c>
      <c r="I20">
        <f>'Data Sheet'!I58</f>
        <v>746.4</v>
      </c>
      <c r="J20">
        <f>'Data Sheet'!J58</f>
        <v>1252.8</v>
      </c>
      <c r="K20">
        <f>'Data Sheet'!K58</f>
        <v>1650.7</v>
      </c>
    </row>
    <row r="21" spans="1:11" x14ac:dyDescent="0.35">
      <c r="A21" s="6" t="s">
        <v>37</v>
      </c>
      <c r="D21" s="12">
        <f>'Data Sheet'!D59</f>
        <v>0</v>
      </c>
      <c r="E21" s="12">
        <f>'Data Sheet'!E59</f>
        <v>0</v>
      </c>
      <c r="F21" s="12">
        <f>'Data Sheet'!F59</f>
        <v>0</v>
      </c>
      <c r="G21" s="12">
        <f>'Data Sheet'!G59</f>
        <v>0</v>
      </c>
      <c r="H21" s="12">
        <f>'Data Sheet'!H59</f>
        <v>0</v>
      </c>
      <c r="I21" s="12">
        <f>'Data Sheet'!I59</f>
        <v>0</v>
      </c>
      <c r="J21" s="12">
        <f>'Data Sheet'!J59</f>
        <v>0</v>
      </c>
      <c r="K21" s="12">
        <f>'Data Sheet'!K59</f>
        <v>0</v>
      </c>
    </row>
    <row r="22" spans="1:11" x14ac:dyDescent="0.35">
      <c r="A22" t="s">
        <v>71</v>
      </c>
      <c r="D22" s="11"/>
      <c r="E22" s="11"/>
      <c r="F22" s="11">
        <f>IF('Income Statement'!B5&gt;0,('Balance sheet'!F20/('Income Statement'!B5/365)),0)</f>
        <v>29.253435067150519</v>
      </c>
      <c r="G22" s="11">
        <f>IF('Income Statement'!C5&gt;0,('Balance sheet'!G20/('Income Statement'!C5/365)),0)</f>
        <v>33.508707719522981</v>
      </c>
      <c r="H22" s="11">
        <f>IF('Income Statement'!D5&gt;0,('Balance sheet'!H20/('Income Statement'!D5/365)),0)</f>
        <v>61.408810195266483</v>
      </c>
      <c r="I22" s="11">
        <f>IF('Income Statement'!E5&gt;0,('Balance sheet'!I20/('Income Statement'!E5/365)),0)</f>
        <v>54.769812231112546</v>
      </c>
      <c r="J22" s="11">
        <f>IF('Income Statement'!F5&gt;0,('Balance sheet'!J20/('Income Statement'!F5/365)),0)</f>
        <v>57.228389422174381</v>
      </c>
      <c r="K22" s="11">
        <f>IF('Income Statement'!G5&gt;0,('Balance sheet'!K20/('Income Statement'!G5/365)),0)</f>
        <v>60.384603820481473</v>
      </c>
    </row>
    <row r="25" spans="1:11" x14ac:dyDescent="0.35">
      <c r="A25" s="10" t="s">
        <v>72</v>
      </c>
      <c r="F25" s="18">
        <f>IF(SUM(F6:F7)&gt;0,'Income Statement'!B14/(SUM('Balance sheet'!F6:F7)),"")</f>
        <v>-0.73042323883386617</v>
      </c>
      <c r="G25" s="18">
        <f>IF(SUM(G6:G7)&gt;0,'Income Statement'!C14/(SUM('Balance sheet'!G6:G7)),"")</f>
        <v>-0.35066377140601096</v>
      </c>
      <c r="H25" s="18">
        <f>IF(SUM(H6:H7)&gt;0,'Income Statement'!D14/(SUM('Balance sheet'!H6:H7)),"")</f>
        <v>-0.25954887678276301</v>
      </c>
      <c r="I25" s="18">
        <f>IF(SUM(I6:I7)&gt;0,'Income Statement'!E14/(SUM('Balance sheet'!I6:I7)),"")</f>
        <v>-0.16909042087113824</v>
      </c>
      <c r="J25" s="18">
        <f>IF(SUM(J6:J7)&gt;0,'Income Statement'!F14/(SUM('Balance sheet'!J6:J7)),"")</f>
        <v>-0.13644395955622485</v>
      </c>
      <c r="K25" s="18">
        <f>IF(SUM(K6:K7)&gt;0,'Income Statement'!G14/(SUM('Balance sheet'!K6:K7)),"")</f>
        <v>-0.10632869599147569</v>
      </c>
    </row>
    <row r="26" spans="1:11" x14ac:dyDescent="0.35">
      <c r="A26" s="10" t="s">
        <v>73</v>
      </c>
      <c r="F26" s="18">
        <f>IF((E6+E7+E8+F6+F7+F8)&gt;0,('Income Statement'!B12+'Income Statement'!B11)*2/(E6+E7+E8+F6+F7+F8),"")</f>
        <v>-0.88694587002893399</v>
      </c>
      <c r="G26" s="18">
        <f>IF((F6+F7+F8+G6+G7+G8)&gt;0,('Income Statement'!C12+'Income Statement'!C11)*2/(F6+F7+F8+G6+G7+G8),"")</f>
        <v>-0.38242322504196702</v>
      </c>
      <c r="H26" s="18">
        <f>IF((G6+G7+G8+H6+H7+H8)&gt;0,('Income Statement'!D12+'Income Statement'!D11)*2/(G6+G7+G8+H6+H7+H8),"")</f>
        <v>-0.21179711864082501</v>
      </c>
      <c r="I26" s="18">
        <f>IF((H6+H7+H8+I6+I7+I8)&gt;0,('Income Statement'!E12+'Income Statement'!E11)*2/(H6+H7+H8+I6+I7+I8),"")</f>
        <v>-0.21777052867346033</v>
      </c>
      <c r="J26" s="18">
        <f>IF((I6+I7+I8+J6+J7+J8)&gt;0,('Income Statement'!F12+'Income Statement'!F11)*2/(I6+I7+I8+J6+J7+J8),"")</f>
        <v>-0.12453281182094743</v>
      </c>
      <c r="K26" s="18">
        <f>IF((J6+J7+J8+K6+K7+K8)&gt;0,('Income Statement'!G12+'Income Statement'!G11)*2/(J6+J7+J8+K6+K7+K8),"")</f>
        <v>-0.1021684908814192</v>
      </c>
    </row>
    <row r="30" spans="1:11" x14ac:dyDescent="0.35">
      <c r="A30" s="6"/>
    </row>
    <row r="31" spans="1:11" x14ac:dyDescent="0.35">
      <c r="A31" s="1"/>
    </row>
    <row r="32" spans="1:11" x14ac:dyDescent="0.35">
      <c r="A32" s="1"/>
    </row>
    <row r="33" spans="1:1" x14ac:dyDescent="0.35">
      <c r="A33" s="1"/>
    </row>
    <row r="34" spans="1:1" x14ac:dyDescent="0.35">
      <c r="A34" s="1"/>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3C37A-B6F2-4288-8B27-B7F7E4517152}">
  <dimension ref="A1:K9"/>
  <sheetViews>
    <sheetView workbookViewId="0">
      <selection activeCell="C15" sqref="C15"/>
    </sheetView>
  </sheetViews>
  <sheetFormatPr defaultRowHeight="14.5" x14ac:dyDescent="0.35"/>
  <cols>
    <col min="1" max="1" width="25.81640625" bestFit="1" customWidth="1"/>
  </cols>
  <sheetData>
    <row r="1" spans="1:11" x14ac:dyDescent="0.35">
      <c r="A1" s="27" t="s">
        <v>5</v>
      </c>
      <c r="B1" s="27"/>
      <c r="C1" s="27"/>
      <c r="D1" s="27"/>
    </row>
    <row r="4" spans="1:11" x14ac:dyDescent="0.35">
      <c r="A4" s="2" t="s">
        <v>42</v>
      </c>
    </row>
    <row r="5" spans="1:11" x14ac:dyDescent="0.35">
      <c r="A5" s="4" t="s">
        <v>7</v>
      </c>
      <c r="B5" s="5"/>
      <c r="C5" s="5"/>
      <c r="D5" s="5">
        <v>42094</v>
      </c>
      <c r="E5" s="5">
        <v>42460</v>
      </c>
      <c r="F5" s="5">
        <v>43555</v>
      </c>
      <c r="G5" s="5">
        <v>43921</v>
      </c>
      <c r="H5" s="5">
        <v>44286</v>
      </c>
      <c r="I5" s="5">
        <v>44651</v>
      </c>
      <c r="J5" s="5">
        <v>45016</v>
      </c>
      <c r="K5" s="5">
        <v>45382</v>
      </c>
    </row>
    <row r="6" spans="1:11" x14ac:dyDescent="0.35">
      <c r="A6" s="6" t="s">
        <v>43</v>
      </c>
      <c r="D6">
        <f>'Data Sheet'!D73</f>
        <v>-333.97</v>
      </c>
      <c r="E6">
        <f>'Data Sheet'!E73</f>
        <v>-1404.96</v>
      </c>
      <c r="F6">
        <f>'Data Sheet'!F73</f>
        <v>-4475.8999999999996</v>
      </c>
      <c r="G6">
        <f>'Data Sheet'!G73</f>
        <v>-2376.6</v>
      </c>
      <c r="H6">
        <f>'Data Sheet'!H73</f>
        <v>-2082.5</v>
      </c>
      <c r="I6">
        <f>'Data Sheet'!I73</f>
        <v>-1236.3</v>
      </c>
      <c r="J6">
        <f>'Data Sheet'!J73</f>
        <v>415.6</v>
      </c>
      <c r="K6">
        <f>'Data Sheet'!K73</f>
        <v>650.79999999999995</v>
      </c>
    </row>
    <row r="7" spans="1:11" x14ac:dyDescent="0.35">
      <c r="A7" s="6" t="s">
        <v>44</v>
      </c>
      <c r="D7">
        <f>'Data Sheet'!D74</f>
        <v>-20.45</v>
      </c>
      <c r="E7">
        <f>'Data Sheet'!E74</f>
        <v>-2229.0500000000002</v>
      </c>
      <c r="F7">
        <f>'Data Sheet'!F74</f>
        <v>1905.6</v>
      </c>
      <c r="G7">
        <f>'Data Sheet'!G74</f>
        <v>-1997</v>
      </c>
      <c r="H7">
        <f>'Data Sheet'!H74</f>
        <v>1933.8</v>
      </c>
      <c r="I7">
        <f>'Data Sheet'!I74</f>
        <v>-5483.7</v>
      </c>
      <c r="J7">
        <f>'Data Sheet'!J74</f>
        <v>2627.8</v>
      </c>
      <c r="K7">
        <f>'Data Sheet'!K74</f>
        <v>318</v>
      </c>
    </row>
    <row r="8" spans="1:11" x14ac:dyDescent="0.35">
      <c r="A8" s="6" t="s">
        <v>45</v>
      </c>
      <c r="D8">
        <f>'Data Sheet'!D75</f>
        <v>458.9</v>
      </c>
      <c r="E8">
        <f>'Data Sheet'!E75</f>
        <v>3937.97</v>
      </c>
      <c r="F8">
        <f>'Data Sheet'!F75</f>
        <v>2110.5</v>
      </c>
      <c r="G8">
        <f>'Data Sheet'!G75</f>
        <v>5159.8999999999996</v>
      </c>
      <c r="H8">
        <f>'Data Sheet'!H75</f>
        <v>-222.1</v>
      </c>
      <c r="I8">
        <f>'Data Sheet'!I75</f>
        <v>8053.5</v>
      </c>
      <c r="J8">
        <f>'Data Sheet'!J75</f>
        <v>-1112.3</v>
      </c>
      <c r="K8">
        <f>'Data Sheet'!K75</f>
        <v>-22.1</v>
      </c>
    </row>
    <row r="9" spans="1:11" x14ac:dyDescent="0.35">
      <c r="A9" s="2" t="s">
        <v>46</v>
      </c>
      <c r="B9" s="10"/>
      <c r="C9" s="10"/>
      <c r="D9" s="10">
        <f>'Data Sheet'!D76</f>
        <v>104.48</v>
      </c>
      <c r="E9" s="10">
        <f>'Data Sheet'!E76</f>
        <v>303.95999999999998</v>
      </c>
      <c r="F9" s="10">
        <f>'Data Sheet'!F76</f>
        <v>-459.8</v>
      </c>
      <c r="G9" s="10">
        <f>'Data Sheet'!G76</f>
        <v>786.3</v>
      </c>
      <c r="H9" s="10">
        <f>'Data Sheet'!H76</f>
        <v>-370.8</v>
      </c>
      <c r="I9" s="10">
        <f>'Data Sheet'!I76</f>
        <v>1333.5</v>
      </c>
      <c r="J9" s="10">
        <f>'Data Sheet'!J76</f>
        <v>1931.1</v>
      </c>
      <c r="K9" s="10">
        <f>'Data Sheet'!K76</f>
        <v>946.7</v>
      </c>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66DA-435F-4CF7-9B07-00647AC4DBFA}">
  <dimension ref="A1:E13"/>
  <sheetViews>
    <sheetView workbookViewId="0">
      <selection activeCell="D17" sqref="D17"/>
    </sheetView>
  </sheetViews>
  <sheetFormatPr defaultRowHeight="14.5" x14ac:dyDescent="0.35"/>
  <cols>
    <col min="1" max="1" width="17.54296875" bestFit="1" customWidth="1"/>
  </cols>
  <sheetData>
    <row r="1" spans="1:5" x14ac:dyDescent="0.35">
      <c r="A1" s="27" t="s">
        <v>5</v>
      </c>
      <c r="B1" s="27"/>
      <c r="C1" s="27"/>
      <c r="D1" s="27"/>
    </row>
    <row r="4" spans="1:5" x14ac:dyDescent="0.35">
      <c r="A4" s="5" t="s">
        <v>75</v>
      </c>
      <c r="B4" s="5">
        <v>44256</v>
      </c>
      <c r="C4" s="5">
        <v>44621</v>
      </c>
      <c r="D4" s="5">
        <v>44986</v>
      </c>
      <c r="E4" s="5">
        <v>45352</v>
      </c>
    </row>
    <row r="5" spans="1:5" x14ac:dyDescent="0.35">
      <c r="A5" s="10" t="s">
        <v>74</v>
      </c>
      <c r="B5" s="15">
        <f>('Data Sheet'!H13-'Data Sheet'!H17+'Data Sheet'!H19)/'Data Sheet'!H13</f>
        <v>0.49601970513690075</v>
      </c>
      <c r="C5" s="15">
        <f>('Data Sheet'!I13-'Data Sheet'!I17+'Data Sheet'!I19)/'Data Sheet'!I13</f>
        <v>0.59953359334164291</v>
      </c>
      <c r="D5" s="15">
        <f>('Data Sheet'!J13-'Data Sheet'!J17+'Data Sheet'!J19)/'Data Sheet'!J13</f>
        <v>0.75858228101573155</v>
      </c>
      <c r="E5" s="15">
        <f>('Data Sheet'!K13-'Data Sheet'!K17+'Data Sheet'!K19)/'Data Sheet'!K13</f>
        <v>0.69151516366333254</v>
      </c>
    </row>
    <row r="6" spans="1:5" x14ac:dyDescent="0.35">
      <c r="A6" s="10" t="s">
        <v>76</v>
      </c>
      <c r="B6" s="15">
        <f>'Income Statement'!D8/'Income Statement'!D5</f>
        <v>-0.65623103559061868</v>
      </c>
      <c r="C6" s="15">
        <f>'Income Statement'!E8/'Income Statement'!E5</f>
        <v>-0.47919263399139589</v>
      </c>
      <c r="D6" s="15">
        <f>'Income Statement'!F8/'Income Statement'!F5</f>
        <v>-0.20571192570992325</v>
      </c>
      <c r="E6" s="15">
        <f>'Income Statement'!G8/'Income Statement'!G5</f>
        <v>-0.51831064964220597</v>
      </c>
    </row>
    <row r="7" spans="1:5" x14ac:dyDescent="0.35">
      <c r="A7" s="10" t="s">
        <v>77</v>
      </c>
      <c r="B7" s="15">
        <f>'Income Statement'!D14/'Income Statement'!D5</f>
        <v>-0.60546888944418653</v>
      </c>
      <c r="C7" s="15">
        <f>'Income Statement'!E14/'Income Statement'!E5</f>
        <v>-0.48106228137187895</v>
      </c>
      <c r="D7" s="15">
        <f>'Income Statement'!F14/'Income Statement'!F5</f>
        <v>-0.22225698659624796</v>
      </c>
      <c r="E7" s="15">
        <f>'Income Statement'!G14/'Income Statement'!G5</f>
        <v>-0.14201527390807595</v>
      </c>
    </row>
    <row r="8" spans="1:5" x14ac:dyDescent="0.35">
      <c r="A8" s="10"/>
    </row>
    <row r="9" spans="1:5" x14ac:dyDescent="0.35">
      <c r="A9" s="5" t="s">
        <v>78</v>
      </c>
      <c r="B9" s="5">
        <v>44256</v>
      </c>
      <c r="C9" s="5">
        <v>44621</v>
      </c>
      <c r="D9" s="5">
        <v>44986</v>
      </c>
      <c r="E9" s="5">
        <v>45352</v>
      </c>
    </row>
    <row r="10" spans="1:5" x14ac:dyDescent="0.35">
      <c r="A10" s="10" t="s">
        <v>79</v>
      </c>
      <c r="B10" s="11">
        <f>('Data Sheet'!H50+'Data Sheet'!H51)/('Data Sheet'!H55+'Data Sheet'!H56)</f>
        <v>0.30291345329905744</v>
      </c>
      <c r="C10" s="11">
        <f>('Data Sheet'!I50+'Data Sheet'!I51)/('Data Sheet'!I55+'Data Sheet'!I56)</f>
        <v>0.22500366235973163</v>
      </c>
      <c r="D10" s="11">
        <f>('Data Sheet'!J50+'Data Sheet'!J51)/('Data Sheet'!J55+'Data Sheet'!J56)</f>
        <v>0.29561198165488251</v>
      </c>
      <c r="E10" s="11">
        <f>('Data Sheet'!K50+'Data Sheet'!K51)/('Data Sheet'!K55+'Data Sheet'!K56)</f>
        <v>0.24010908037434972</v>
      </c>
    </row>
    <row r="11" spans="1:5" x14ac:dyDescent="0.35">
      <c r="A11" s="10"/>
    </row>
    <row r="12" spans="1:5" x14ac:dyDescent="0.35">
      <c r="A12" s="5" t="s">
        <v>80</v>
      </c>
      <c r="B12" s="5">
        <v>44256</v>
      </c>
      <c r="C12" s="5">
        <v>44621</v>
      </c>
      <c r="D12" s="5">
        <v>44986</v>
      </c>
      <c r="E12" s="5">
        <v>45352</v>
      </c>
    </row>
    <row r="13" spans="1:5" x14ac:dyDescent="0.35">
      <c r="A13" s="10" t="s">
        <v>81</v>
      </c>
      <c r="B13" s="11">
        <f>'Data Sheet'!H13/('Data Sheet'!H55+'Data Sheet'!H56)</f>
        <v>0.32438222283980644</v>
      </c>
      <c r="C13" s="11">
        <f>'Data Sheet'!I13/('Data Sheet'!I55+'Data Sheet'!I56)</f>
        <v>0.2914769564325686</v>
      </c>
      <c r="D13" s="11">
        <f>'Data Sheet'!J13/('Data Sheet'!J55+'Data Sheet'!J56)</f>
        <v>0.47715817886489592</v>
      </c>
      <c r="E13" s="11">
        <f>'Data Sheet'!K13/('Data Sheet'!K55+'Data Sheet'!K56)</f>
        <v>0.62839616581224567</v>
      </c>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74AA8-D05B-4D47-9D4C-FB004AFB4740}">
  <dimension ref="A1:T52"/>
  <sheetViews>
    <sheetView tabSelected="1" topLeftCell="A30" zoomScaleNormal="100" workbookViewId="0">
      <selection activeCell="K50" sqref="K50"/>
    </sheetView>
  </sheetViews>
  <sheetFormatPr defaultRowHeight="14.5" x14ac:dyDescent="0.35"/>
  <cols>
    <col min="1" max="1" width="22.26953125" bestFit="1" customWidth="1"/>
    <col min="2" max="3" width="9.7265625" bestFit="1" customWidth="1"/>
    <col min="13" max="13" width="21.81640625" bestFit="1" customWidth="1"/>
    <col min="15" max="15" width="14.90625" bestFit="1" customWidth="1"/>
  </cols>
  <sheetData>
    <row r="1" spans="1:20" x14ac:dyDescent="0.35">
      <c r="A1" s="27" t="s">
        <v>5</v>
      </c>
      <c r="B1" s="27"/>
      <c r="C1" s="27"/>
      <c r="D1" s="27"/>
    </row>
    <row r="3" spans="1:20" ht="14.5" customHeight="1" x14ac:dyDescent="0.35">
      <c r="A3" s="31" t="s">
        <v>98</v>
      </c>
      <c r="B3" s="31"/>
      <c r="C3" s="31"/>
      <c r="D3" s="31"/>
      <c r="E3" s="31"/>
      <c r="F3" s="31"/>
      <c r="G3" s="31"/>
      <c r="H3" s="31"/>
      <c r="I3" s="31"/>
      <c r="J3" s="31"/>
      <c r="K3" s="31"/>
      <c r="L3" s="31"/>
      <c r="M3" s="31"/>
      <c r="N3" s="31"/>
    </row>
    <row r="4" spans="1:20" x14ac:dyDescent="0.35">
      <c r="A4" s="32"/>
      <c r="B4" s="32"/>
      <c r="C4" s="32"/>
      <c r="D4" s="32"/>
      <c r="E4" s="32"/>
      <c r="F4" s="32"/>
      <c r="G4" s="32"/>
      <c r="H4" s="32"/>
      <c r="I4" s="32"/>
      <c r="J4" s="32"/>
      <c r="K4" s="32"/>
      <c r="L4" s="32"/>
      <c r="M4" s="32"/>
      <c r="N4" s="32"/>
    </row>
    <row r="5" spans="1:20" x14ac:dyDescent="0.35">
      <c r="A5" s="32"/>
      <c r="B5" s="32"/>
      <c r="C5" s="32"/>
      <c r="D5" s="32"/>
      <c r="E5" s="32"/>
      <c r="F5" s="32"/>
      <c r="G5" s="32"/>
      <c r="H5" s="32"/>
      <c r="I5" s="32"/>
      <c r="J5" s="32"/>
      <c r="K5" s="32"/>
      <c r="L5" s="32"/>
      <c r="M5" s="32"/>
      <c r="N5" s="32"/>
    </row>
    <row r="8" spans="1:20" x14ac:dyDescent="0.35">
      <c r="A8" s="33" t="s">
        <v>90</v>
      </c>
      <c r="B8" s="33"/>
      <c r="C8" s="33"/>
      <c r="D8" s="33"/>
      <c r="E8" s="33"/>
      <c r="F8" s="33"/>
      <c r="G8" s="33"/>
      <c r="H8" s="33"/>
      <c r="I8" s="33"/>
      <c r="J8" s="33"/>
      <c r="K8" s="33"/>
      <c r="L8" s="33"/>
      <c r="M8" s="33"/>
      <c r="N8" s="33"/>
      <c r="O8" s="33"/>
    </row>
    <row r="9" spans="1:20" x14ac:dyDescent="0.35">
      <c r="A9" s="34"/>
      <c r="B9" s="34"/>
      <c r="C9" s="34"/>
      <c r="D9" s="34"/>
      <c r="E9" s="34"/>
      <c r="F9" s="34"/>
      <c r="G9" s="34"/>
      <c r="H9" s="34"/>
      <c r="I9" s="34"/>
      <c r="J9" s="34"/>
      <c r="K9" s="34"/>
      <c r="L9" s="34"/>
      <c r="M9" s="34"/>
      <c r="N9" s="34"/>
      <c r="O9" s="34"/>
    </row>
    <row r="10" spans="1:20" x14ac:dyDescent="0.35">
      <c r="A10" s="20"/>
      <c r="B10" s="20"/>
      <c r="C10" s="20"/>
      <c r="D10" s="20"/>
      <c r="E10" s="20"/>
      <c r="F10" s="20"/>
      <c r="G10" s="20"/>
      <c r="H10" s="20"/>
      <c r="I10" s="20"/>
      <c r="J10" s="20"/>
      <c r="K10" s="20"/>
      <c r="L10" s="20"/>
      <c r="M10" s="20"/>
      <c r="N10" s="20"/>
      <c r="O10" s="20"/>
      <c r="P10" s="20"/>
      <c r="Q10" s="20"/>
      <c r="R10" s="20"/>
      <c r="S10" s="20"/>
      <c r="T10" s="20"/>
    </row>
    <row r="11" spans="1:20" x14ac:dyDescent="0.35">
      <c r="A11" s="5" t="s">
        <v>83</v>
      </c>
      <c r="B11" s="5">
        <v>45352</v>
      </c>
      <c r="C11" s="5">
        <v>45717</v>
      </c>
      <c r="D11" s="5">
        <v>46082</v>
      </c>
      <c r="E11" s="5">
        <v>46447</v>
      </c>
      <c r="F11" s="5">
        <v>46813</v>
      </c>
      <c r="G11" s="5">
        <v>47178</v>
      </c>
    </row>
    <row r="12" spans="1:20" x14ac:dyDescent="0.35">
      <c r="A12" s="10" t="s">
        <v>8</v>
      </c>
      <c r="B12" s="11">
        <f>'Income Statement'!G5</f>
        <v>9977.7999999999993</v>
      </c>
      <c r="C12">
        <f>B12+C13*B12</f>
        <v>11973.359999999999</v>
      </c>
      <c r="D12">
        <f t="shared" ref="D12:G12" si="0">C12+D13*C12</f>
        <v>14368.031999999999</v>
      </c>
      <c r="E12">
        <f t="shared" si="0"/>
        <v>17241.6384</v>
      </c>
      <c r="F12">
        <f t="shared" si="0"/>
        <v>20689.966079999998</v>
      </c>
      <c r="G12">
        <f t="shared" si="0"/>
        <v>24827.959295999997</v>
      </c>
    </row>
    <row r="13" spans="1:20" x14ac:dyDescent="0.35">
      <c r="A13" t="s">
        <v>91</v>
      </c>
      <c r="C13" s="15">
        <v>0.2</v>
      </c>
      <c r="D13" s="15">
        <v>0.2</v>
      </c>
      <c r="E13" s="15">
        <v>0.2</v>
      </c>
      <c r="F13" s="15">
        <v>0.2</v>
      </c>
      <c r="G13" s="15">
        <v>0.2</v>
      </c>
    </row>
    <row r="16" spans="1:20" x14ac:dyDescent="0.35">
      <c r="A16" s="33" t="s">
        <v>89</v>
      </c>
      <c r="B16" s="33"/>
      <c r="C16" s="33"/>
      <c r="D16" s="33"/>
      <c r="E16" s="33"/>
      <c r="F16" s="33"/>
      <c r="G16" s="33"/>
      <c r="H16" s="33"/>
      <c r="I16" s="33"/>
      <c r="J16" s="33"/>
      <c r="K16" s="33"/>
      <c r="L16" s="33"/>
      <c r="M16" s="10" t="s">
        <v>84</v>
      </c>
      <c r="N16" s="15">
        <f>('Income Statement'!G7/'Income Statement'!G5)</f>
        <v>1.5183106496422059</v>
      </c>
      <c r="O16" t="s">
        <v>85</v>
      </c>
    </row>
    <row r="17" spans="1:15" x14ac:dyDescent="0.35">
      <c r="A17" s="34"/>
      <c r="B17" s="34"/>
      <c r="C17" s="34"/>
      <c r="D17" s="34"/>
      <c r="E17" s="34"/>
      <c r="F17" s="34"/>
      <c r="G17" s="34"/>
      <c r="H17" s="34"/>
      <c r="I17" s="34"/>
      <c r="J17" s="34"/>
      <c r="K17" s="34"/>
      <c r="L17" s="34"/>
      <c r="N17" s="15">
        <f>'Income Statement'!F7/'Income Statement'!F5</f>
        <v>1.2057119257099234</v>
      </c>
      <c r="O17" t="s">
        <v>86</v>
      </c>
    </row>
    <row r="18" spans="1:15" x14ac:dyDescent="0.35">
      <c r="N18" s="15">
        <f>'Income Statement'!E7/'Income Statement'!E5</f>
        <v>1.4791926339913959</v>
      </c>
      <c r="O18" t="s">
        <v>87</v>
      </c>
    </row>
    <row r="19" spans="1:15" x14ac:dyDescent="0.35">
      <c r="N19" s="15">
        <f>'Income Statement'!D7/'Income Statement'!D5</f>
        <v>1.6562310355906187</v>
      </c>
      <c r="O19" t="s">
        <v>88</v>
      </c>
    </row>
    <row r="20" spans="1:15" x14ac:dyDescent="0.35">
      <c r="A20" s="5" t="s">
        <v>83</v>
      </c>
      <c r="B20" s="5">
        <v>45352</v>
      </c>
      <c r="C20" s="5">
        <v>45717</v>
      </c>
      <c r="D20" s="5">
        <v>46082</v>
      </c>
      <c r="E20" s="5">
        <v>46447</v>
      </c>
      <c r="F20" s="5">
        <v>46813</v>
      </c>
      <c r="G20" s="5">
        <v>47178</v>
      </c>
    </row>
    <row r="21" spans="1:15" x14ac:dyDescent="0.35">
      <c r="A21" s="10" t="s">
        <v>24</v>
      </c>
      <c r="B21" s="12">
        <f>'Income Statement'!G7</f>
        <v>15149.400000000001</v>
      </c>
      <c r="C21" s="12">
        <f>AVERAGE(B21,D21)</f>
        <v>14758.716</v>
      </c>
      <c r="D21">
        <f>D12</f>
        <v>14368.031999999999</v>
      </c>
      <c r="E21">
        <f>E12-(E12*4%)</f>
        <v>16551.972863999999</v>
      </c>
      <c r="F21">
        <f t="shared" ref="F21:G21" si="1">F12-(F12*4%)</f>
        <v>19862.367436799999</v>
      </c>
      <c r="G21">
        <f t="shared" si="1"/>
        <v>23834.840924159998</v>
      </c>
    </row>
    <row r="23" spans="1:15" x14ac:dyDescent="0.35">
      <c r="A23" s="10" t="s">
        <v>92</v>
      </c>
      <c r="C23" s="12">
        <f>C12-C21</f>
        <v>-2785.3560000000016</v>
      </c>
      <c r="D23" s="12">
        <f t="shared" ref="D23:G23" si="2">D12-D21</f>
        <v>0</v>
      </c>
      <c r="E23" s="12">
        <f t="shared" si="2"/>
        <v>689.66553600000043</v>
      </c>
      <c r="F23" s="12">
        <f t="shared" si="2"/>
        <v>827.59864319999906</v>
      </c>
      <c r="G23" s="12">
        <f t="shared" si="2"/>
        <v>993.11837183999887</v>
      </c>
    </row>
    <row r="25" spans="1:15" x14ac:dyDescent="0.35">
      <c r="A25" s="10" t="s">
        <v>93</v>
      </c>
      <c r="B25" s="24">
        <f>'Data Sheet'!K73</f>
        <v>650.79999999999995</v>
      </c>
      <c r="C25" s="24">
        <f>B25+B25*C26</f>
        <v>767.94399999999996</v>
      </c>
      <c r="D25" s="24">
        <f t="shared" ref="D25:G25" si="3">C25+C25*D26</f>
        <v>906.17391999999995</v>
      </c>
      <c r="E25" s="24">
        <f t="shared" si="3"/>
        <v>1069.2852255999999</v>
      </c>
      <c r="F25" s="24">
        <f t="shared" si="3"/>
        <v>1261.7565662079999</v>
      </c>
      <c r="G25" s="24">
        <f t="shared" si="3"/>
        <v>1488.8727481254398</v>
      </c>
      <c r="I25" s="29" t="s">
        <v>94</v>
      </c>
      <c r="J25" s="29"/>
      <c r="K25" s="29"/>
      <c r="L25" s="29"/>
      <c r="M25" s="29"/>
      <c r="N25" s="29"/>
    </row>
    <row r="26" spans="1:15" x14ac:dyDescent="0.35">
      <c r="A26" t="s">
        <v>91</v>
      </c>
      <c r="C26" s="15">
        <v>0.18</v>
      </c>
      <c r="D26" s="15">
        <v>0.18</v>
      </c>
      <c r="E26" s="15">
        <v>0.18</v>
      </c>
      <c r="F26" s="15">
        <v>0.18</v>
      </c>
      <c r="G26" s="15">
        <v>0.18</v>
      </c>
      <c r="I26" s="30"/>
      <c r="J26" s="30"/>
      <c r="K26" s="30"/>
      <c r="L26" s="30"/>
      <c r="M26" s="30"/>
      <c r="N26" s="30"/>
    </row>
    <row r="28" spans="1:15" ht="14.5" customHeight="1" x14ac:dyDescent="0.35">
      <c r="A28" s="10" t="s">
        <v>95</v>
      </c>
      <c r="B28">
        <v>561</v>
      </c>
      <c r="C28">
        <f>B28+B28*C29</f>
        <v>628.31999999999994</v>
      </c>
      <c r="D28">
        <f t="shared" ref="D28:G28" si="4">C28+C28*D29</f>
        <v>703.71839999999997</v>
      </c>
      <c r="E28">
        <f t="shared" si="4"/>
        <v>788.16460799999993</v>
      </c>
      <c r="F28">
        <f t="shared" si="4"/>
        <v>882.74436095999988</v>
      </c>
      <c r="G28">
        <f t="shared" si="4"/>
        <v>988.67368427519989</v>
      </c>
      <c r="I28" s="29" t="s">
        <v>97</v>
      </c>
      <c r="J28" s="29"/>
      <c r="K28" s="29"/>
      <c r="L28" s="29"/>
      <c r="M28" s="29"/>
      <c r="N28" s="29"/>
    </row>
    <row r="29" spans="1:15" x14ac:dyDescent="0.35">
      <c r="C29" s="15">
        <v>0.12</v>
      </c>
      <c r="D29" s="15">
        <v>0.12</v>
      </c>
      <c r="E29" s="15">
        <v>0.12</v>
      </c>
      <c r="F29" s="15">
        <v>0.12</v>
      </c>
      <c r="G29" s="15">
        <v>0.12</v>
      </c>
      <c r="I29" s="30"/>
      <c r="J29" s="30"/>
      <c r="K29" s="30"/>
      <c r="L29" s="30"/>
      <c r="M29" s="30"/>
      <c r="N29" s="30"/>
    </row>
    <row r="31" spans="1:15" x14ac:dyDescent="0.35">
      <c r="A31" s="10" t="s">
        <v>96</v>
      </c>
      <c r="C31" s="11">
        <f>C25-C28</f>
        <v>139.62400000000002</v>
      </c>
      <c r="D31" s="11">
        <f t="shared" ref="D31:G31" si="5">D25-D28</f>
        <v>202.45551999999998</v>
      </c>
      <c r="E31" s="11">
        <f t="shared" si="5"/>
        <v>281.12061759999995</v>
      </c>
      <c r="F31" s="11">
        <f t="shared" si="5"/>
        <v>379.01220524799999</v>
      </c>
      <c r="G31" s="11">
        <f t="shared" si="5"/>
        <v>500.1990638502399</v>
      </c>
    </row>
    <row r="43" spans="1:1" x14ac:dyDescent="0.35">
      <c r="A43" s="10"/>
    </row>
    <row r="49" spans="1:1" x14ac:dyDescent="0.35">
      <c r="A49" s="10"/>
    </row>
    <row r="52" spans="1:1" x14ac:dyDescent="0.35">
      <c r="A52" s="10"/>
    </row>
  </sheetData>
  <mergeCells count="6">
    <mergeCell ref="I25:N26"/>
    <mergeCell ref="I28:N29"/>
    <mergeCell ref="A3:N5"/>
    <mergeCell ref="A1:D1"/>
    <mergeCell ref="A16:L17"/>
    <mergeCell ref="A8:O9"/>
  </mergeCells>
  <phoneticPr fontId="5"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A7741-34D0-41E4-9CED-5F08344F972E}">
  <dimension ref="A1:L42"/>
  <sheetViews>
    <sheetView workbookViewId="0">
      <selection activeCell="B45" sqref="B45"/>
    </sheetView>
  </sheetViews>
  <sheetFormatPr defaultRowHeight="14.5" x14ac:dyDescent="0.35"/>
  <cols>
    <col min="1" max="1" width="17.6328125" bestFit="1" customWidth="1"/>
    <col min="2" max="2" width="15.81640625" bestFit="1" customWidth="1"/>
    <col min="3" max="3" width="14.08984375" bestFit="1" customWidth="1"/>
    <col min="4" max="4" width="14.81640625" customWidth="1"/>
    <col min="5" max="5" width="13.453125" customWidth="1"/>
    <col min="6" max="6" width="13.36328125" customWidth="1"/>
  </cols>
  <sheetData>
    <row r="1" spans="1:6" x14ac:dyDescent="0.35">
      <c r="A1" s="27" t="s">
        <v>5</v>
      </c>
      <c r="B1" s="27"/>
      <c r="C1" s="27"/>
      <c r="D1" s="27"/>
    </row>
    <row r="4" spans="1:6" x14ac:dyDescent="0.35">
      <c r="A4" s="5" t="s">
        <v>83</v>
      </c>
      <c r="B4" s="5">
        <v>45717</v>
      </c>
      <c r="C4" s="5">
        <v>46082</v>
      </c>
      <c r="D4" s="5">
        <v>46447</v>
      </c>
      <c r="E4" s="5">
        <v>46813</v>
      </c>
      <c r="F4" s="5">
        <v>47178</v>
      </c>
    </row>
    <row r="5" spans="1:6" x14ac:dyDescent="0.35">
      <c r="A5" s="10" t="s">
        <v>96</v>
      </c>
      <c r="B5" s="11">
        <f>Projections!C31</f>
        <v>139.62400000000002</v>
      </c>
      <c r="C5" s="11">
        <f>Projections!D31</f>
        <v>202.45551999999998</v>
      </c>
      <c r="D5" s="11">
        <f>Projections!E31</f>
        <v>281.12061759999995</v>
      </c>
      <c r="E5" s="11">
        <f>Projections!F31</f>
        <v>379.01220524799999</v>
      </c>
      <c r="F5" s="11">
        <f>Projections!G31</f>
        <v>500.1990638502399</v>
      </c>
    </row>
    <row r="7" spans="1:6" x14ac:dyDescent="0.35">
      <c r="A7" s="35" t="s">
        <v>100</v>
      </c>
      <c r="B7" s="35"/>
      <c r="C7" s="35"/>
      <c r="D7" s="35"/>
      <c r="E7" s="35"/>
      <c r="F7" s="35"/>
    </row>
    <row r="8" spans="1:6" x14ac:dyDescent="0.35">
      <c r="A8" s="35"/>
      <c r="B8" s="35"/>
      <c r="C8" s="35"/>
      <c r="D8" s="35"/>
      <c r="E8" s="35"/>
      <c r="F8" s="35"/>
    </row>
    <row r="10" spans="1:6" x14ac:dyDescent="0.35">
      <c r="A10" s="28" t="s">
        <v>104</v>
      </c>
      <c r="B10" s="28"/>
      <c r="C10" s="28"/>
      <c r="D10" s="28"/>
      <c r="E10" s="28"/>
      <c r="F10" s="28"/>
    </row>
    <row r="13" spans="1:6" x14ac:dyDescent="0.35">
      <c r="B13" s="10" t="s">
        <v>102</v>
      </c>
      <c r="C13" s="10" t="s">
        <v>101</v>
      </c>
      <c r="D13" s="10" t="s">
        <v>103</v>
      </c>
    </row>
    <row r="14" spans="1:6" x14ac:dyDescent="0.35">
      <c r="A14" s="10" t="s">
        <v>99</v>
      </c>
      <c r="B14" s="23">
        <f>($F$5*(1+3%))/(11.5%-3%)</f>
        <v>6061.2357148911415</v>
      </c>
      <c r="C14" s="22">
        <f>($F$5*(1+4%))/(11.5%-4%)</f>
        <v>6936.093685389993</v>
      </c>
      <c r="D14" s="21">
        <f>($F$5*(1+6%))/(11.5%-6%)</f>
        <v>9640.2001396591677</v>
      </c>
    </row>
    <row r="16" spans="1:6" x14ac:dyDescent="0.35">
      <c r="A16" s="28" t="s">
        <v>105</v>
      </c>
      <c r="B16" s="28"/>
      <c r="C16" s="28"/>
      <c r="D16" s="28"/>
    </row>
    <row r="18" spans="1:6" x14ac:dyDescent="0.35">
      <c r="A18" s="5" t="s">
        <v>106</v>
      </c>
      <c r="B18" s="5">
        <v>45717</v>
      </c>
      <c r="C18" s="5">
        <v>46082</v>
      </c>
      <c r="D18" s="5">
        <v>46447</v>
      </c>
      <c r="E18" s="5">
        <v>46813</v>
      </c>
      <c r="F18" s="5">
        <v>47178</v>
      </c>
    </row>
    <row r="19" spans="1:6" x14ac:dyDescent="0.35">
      <c r="A19" s="10" t="s">
        <v>96</v>
      </c>
      <c r="B19" s="11">
        <f>B5</f>
        <v>139.62400000000002</v>
      </c>
      <c r="C19" s="11">
        <f t="shared" ref="C19:F19" si="0">C5</f>
        <v>202.45551999999998</v>
      </c>
      <c r="D19" s="11">
        <f t="shared" si="0"/>
        <v>281.12061759999995</v>
      </c>
      <c r="E19" s="11">
        <f t="shared" si="0"/>
        <v>379.01220524799999</v>
      </c>
      <c r="F19" s="11">
        <f t="shared" si="0"/>
        <v>500.1990638502399</v>
      </c>
    </row>
    <row r="21" spans="1:6" x14ac:dyDescent="0.35">
      <c r="A21" s="10" t="s">
        <v>107</v>
      </c>
      <c r="B21" s="11">
        <f>B19/(1+11.5%)^1</f>
        <v>125.22331838565024</v>
      </c>
      <c r="C21" s="11">
        <f>C19/(1+11.5%)^2</f>
        <v>162.84704699471132</v>
      </c>
      <c r="D21" s="11">
        <f>D19/(1+11.5%)^3</f>
        <v>202.80006791969419</v>
      </c>
      <c r="E21" s="11">
        <f>E19/(1+11.5%)^4</f>
        <v>245.21877928118028</v>
      </c>
      <c r="F21" s="11">
        <f>F19/(1+11.5%)^5</f>
        <v>290.24753339413132</v>
      </c>
    </row>
    <row r="22" spans="1:6" x14ac:dyDescent="0.35">
      <c r="A22" s="10"/>
    </row>
    <row r="23" spans="1:6" x14ac:dyDescent="0.35">
      <c r="A23" s="10" t="s">
        <v>108</v>
      </c>
      <c r="B23" s="11">
        <f>C14/(1+11.5%)^5</f>
        <v>4024.7657963986208</v>
      </c>
    </row>
    <row r="24" spans="1:6" x14ac:dyDescent="0.35">
      <c r="A24" s="10"/>
    </row>
    <row r="25" spans="1:6" x14ac:dyDescent="0.35">
      <c r="A25" s="10" t="s">
        <v>109</v>
      </c>
      <c r="B25" s="11">
        <f>B23+B21+C21+D21+E21+F21</f>
        <v>5051.1025423739875</v>
      </c>
    </row>
    <row r="27" spans="1:6" x14ac:dyDescent="0.35">
      <c r="A27" t="s">
        <v>110</v>
      </c>
      <c r="B27">
        <v>170</v>
      </c>
    </row>
    <row r="28" spans="1:6" x14ac:dyDescent="0.35">
      <c r="A28" s="10" t="s">
        <v>111</v>
      </c>
      <c r="B28" s="11">
        <f>B25-B27</f>
        <v>4881.1025423739875</v>
      </c>
    </row>
    <row r="31" spans="1:6" x14ac:dyDescent="0.35">
      <c r="A31" s="25" t="s">
        <v>112</v>
      </c>
      <c r="B31" s="26">
        <f>B28/'Data Sheet'!K84</f>
        <v>76.819366420742639</v>
      </c>
    </row>
    <row r="33" spans="1:12" x14ac:dyDescent="0.35">
      <c r="B33" s="36" t="s">
        <v>113</v>
      </c>
      <c r="C33" s="36"/>
      <c r="D33" s="36"/>
      <c r="E33" s="36"/>
      <c r="F33" s="36"/>
      <c r="G33" s="36"/>
      <c r="H33" s="36"/>
    </row>
    <row r="34" spans="1:12" x14ac:dyDescent="0.35">
      <c r="B34" s="37"/>
      <c r="C34" s="37"/>
      <c r="D34" s="37"/>
      <c r="E34" s="37"/>
      <c r="F34" s="37"/>
      <c r="G34" s="37"/>
      <c r="H34" s="37"/>
    </row>
    <row r="35" spans="1:12" ht="15" thickBot="1" x14ac:dyDescent="0.4">
      <c r="B35" s="38"/>
      <c r="C35" s="38"/>
      <c r="D35" s="38"/>
      <c r="E35" s="38"/>
      <c r="F35" s="38"/>
      <c r="G35" s="38"/>
      <c r="H35" s="38"/>
    </row>
    <row r="36" spans="1:12" ht="15" thickTop="1" x14ac:dyDescent="0.35"/>
    <row r="37" spans="1:12" x14ac:dyDescent="0.35">
      <c r="A37" s="39" t="s">
        <v>114</v>
      </c>
      <c r="B37" s="39"/>
      <c r="C37" s="39"/>
      <c r="D37" s="39"/>
      <c r="E37" s="39"/>
      <c r="F37" s="39"/>
      <c r="G37" s="39"/>
      <c r="H37" s="39"/>
      <c r="I37" s="39"/>
      <c r="J37" s="39"/>
      <c r="K37" s="39"/>
      <c r="L37" s="39"/>
    </row>
    <row r="38" spans="1:12" x14ac:dyDescent="0.35">
      <c r="A38" s="40"/>
      <c r="B38" s="40"/>
      <c r="C38" s="40"/>
      <c r="D38" s="40"/>
      <c r="E38" s="40"/>
      <c r="F38" s="40"/>
      <c r="G38" s="40"/>
      <c r="H38" s="40"/>
      <c r="I38" s="40"/>
      <c r="J38" s="40"/>
      <c r="K38" s="40"/>
      <c r="L38" s="40"/>
    </row>
    <row r="39" spans="1:12" x14ac:dyDescent="0.35">
      <c r="A39" s="40"/>
      <c r="B39" s="40"/>
      <c r="C39" s="40"/>
      <c r="D39" s="40"/>
      <c r="E39" s="40"/>
      <c r="F39" s="40"/>
      <c r="G39" s="40"/>
      <c r="H39" s="40"/>
      <c r="I39" s="40"/>
      <c r="J39" s="40"/>
      <c r="K39" s="40"/>
      <c r="L39" s="40"/>
    </row>
    <row r="40" spans="1:12" x14ac:dyDescent="0.35">
      <c r="A40" s="40"/>
      <c r="B40" s="40"/>
      <c r="C40" s="40"/>
      <c r="D40" s="40"/>
      <c r="E40" s="40"/>
      <c r="F40" s="40"/>
      <c r="G40" s="40"/>
      <c r="H40" s="40"/>
      <c r="I40" s="40"/>
      <c r="J40" s="40"/>
      <c r="K40" s="40"/>
      <c r="L40" s="40"/>
    </row>
    <row r="41" spans="1:12" x14ac:dyDescent="0.35">
      <c r="A41" s="40"/>
      <c r="B41" s="40"/>
      <c r="C41" s="40"/>
      <c r="D41" s="40"/>
      <c r="E41" s="40"/>
      <c r="F41" s="40"/>
      <c r="G41" s="40"/>
      <c r="H41" s="40"/>
      <c r="I41" s="40"/>
      <c r="J41" s="40"/>
      <c r="K41" s="40"/>
      <c r="L41" s="40"/>
    </row>
    <row r="42" spans="1:12" ht="15" thickBot="1" x14ac:dyDescent="0.4">
      <c r="A42" s="41"/>
      <c r="B42" s="41"/>
      <c r="C42" s="41"/>
      <c r="D42" s="41"/>
      <c r="E42" s="41"/>
      <c r="F42" s="41"/>
      <c r="G42" s="41"/>
      <c r="H42" s="41"/>
      <c r="I42" s="41"/>
      <c r="J42" s="41"/>
      <c r="K42" s="41"/>
      <c r="L42" s="41"/>
    </row>
  </sheetData>
  <mergeCells count="6">
    <mergeCell ref="A37:L42"/>
    <mergeCell ref="A1:D1"/>
    <mergeCell ref="A7:F8"/>
    <mergeCell ref="A10:F10"/>
    <mergeCell ref="A16:D16"/>
    <mergeCell ref="B33:H3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E823C-A952-4512-A973-A9E87B9651C3}">
  <dimension ref="A1:K84"/>
  <sheetViews>
    <sheetView zoomScale="70" zoomScaleNormal="70" workbookViewId="0">
      <selection activeCell="M74" sqref="M74"/>
    </sheetView>
  </sheetViews>
  <sheetFormatPr defaultRowHeight="14.5" x14ac:dyDescent="0.35"/>
  <cols>
    <col min="1" max="1" width="19.6328125" bestFit="1" customWidth="1"/>
    <col min="2" max="2" width="8.81640625" bestFit="1" customWidth="1"/>
  </cols>
  <sheetData>
    <row r="1" spans="1:11" x14ac:dyDescent="0.35">
      <c r="A1" s="3" t="s">
        <v>4</v>
      </c>
      <c r="B1" s="27" t="s">
        <v>5</v>
      </c>
      <c r="C1" s="27"/>
      <c r="D1" s="27"/>
      <c r="E1" s="27"/>
    </row>
    <row r="4" spans="1:11" x14ac:dyDescent="0.35">
      <c r="A4" s="1" t="s">
        <v>0</v>
      </c>
      <c r="B4" s="1">
        <f>IF(B7&gt;0, B7/B6, 0)</f>
        <v>63.453517294986398</v>
      </c>
    </row>
    <row r="5" spans="1:11" x14ac:dyDescent="0.35">
      <c r="A5" s="1" t="s">
        <v>1</v>
      </c>
      <c r="B5">
        <v>1</v>
      </c>
    </row>
    <row r="6" spans="1:11" x14ac:dyDescent="0.35">
      <c r="A6" s="1" t="s">
        <v>2</v>
      </c>
      <c r="B6">
        <v>514.6</v>
      </c>
    </row>
    <row r="7" spans="1:11" x14ac:dyDescent="0.35">
      <c r="A7" s="1" t="s">
        <v>3</v>
      </c>
      <c r="B7">
        <v>32653.18</v>
      </c>
    </row>
    <row r="11" spans="1:11" x14ac:dyDescent="0.35">
      <c r="A11" s="2" t="s">
        <v>6</v>
      </c>
    </row>
    <row r="12" spans="1:11" x14ac:dyDescent="0.35">
      <c r="A12" s="4" t="s">
        <v>7</v>
      </c>
      <c r="B12" s="5"/>
      <c r="C12" s="5"/>
      <c r="D12" s="5">
        <v>42094</v>
      </c>
      <c r="E12" s="5">
        <v>42460</v>
      </c>
      <c r="F12" s="5">
        <v>43555</v>
      </c>
      <c r="G12" s="5">
        <v>43921</v>
      </c>
      <c r="H12" s="5">
        <v>44286</v>
      </c>
      <c r="I12" s="5">
        <v>44651</v>
      </c>
      <c r="J12" s="5">
        <v>45016</v>
      </c>
      <c r="K12" s="5">
        <v>45382</v>
      </c>
    </row>
    <row r="13" spans="1:11" x14ac:dyDescent="0.35">
      <c r="A13" s="6" t="s">
        <v>8</v>
      </c>
      <c r="B13" s="6"/>
      <c r="C13" s="6"/>
      <c r="D13">
        <v>323.38</v>
      </c>
      <c r="E13">
        <v>855.09</v>
      </c>
      <c r="F13">
        <v>3224.1</v>
      </c>
      <c r="G13">
        <v>3278.7</v>
      </c>
      <c r="H13">
        <v>2801.3</v>
      </c>
      <c r="I13">
        <v>4974.2</v>
      </c>
      <c r="J13">
        <v>7990.3</v>
      </c>
      <c r="K13">
        <v>9977.7999999999993</v>
      </c>
    </row>
    <row r="14" spans="1:11" x14ac:dyDescent="0.35">
      <c r="A14" s="1" t="s">
        <v>9</v>
      </c>
      <c r="B14" s="6"/>
      <c r="C14" s="6"/>
      <c r="D14" s="6"/>
      <c r="E14" s="6"/>
      <c r="F14" s="6"/>
      <c r="G14" s="6"/>
      <c r="H14" s="6"/>
      <c r="I14" s="6"/>
      <c r="J14" s="6"/>
      <c r="K14" s="6"/>
    </row>
    <row r="15" spans="1:11" x14ac:dyDescent="0.35">
      <c r="A15" s="1" t="s">
        <v>10</v>
      </c>
      <c r="B15" s="6"/>
      <c r="C15" s="6"/>
      <c r="D15" s="6"/>
      <c r="E15" s="6"/>
      <c r="F15" s="6"/>
      <c r="G15" s="6"/>
      <c r="H15" s="6"/>
      <c r="I15" s="6"/>
      <c r="J15" s="6"/>
      <c r="K15" s="6"/>
    </row>
    <row r="16" spans="1:11" x14ac:dyDescent="0.35">
      <c r="A16" s="1" t="s">
        <v>11</v>
      </c>
      <c r="B16" s="6"/>
      <c r="C16" s="6"/>
      <c r="D16">
        <v>2.4500000000000002</v>
      </c>
      <c r="E16">
        <v>5</v>
      </c>
      <c r="F16" s="6"/>
      <c r="G16" s="6"/>
      <c r="H16" s="6"/>
      <c r="I16" s="6"/>
      <c r="J16" s="6"/>
      <c r="K16" s="6"/>
    </row>
    <row r="17" spans="1:11" x14ac:dyDescent="0.35">
      <c r="A17" s="1" t="s">
        <v>12</v>
      </c>
      <c r="B17" s="6"/>
      <c r="C17" s="6"/>
      <c r="D17">
        <v>9.94</v>
      </c>
      <c r="E17">
        <v>62.54</v>
      </c>
      <c r="F17">
        <v>2871.1</v>
      </c>
      <c r="G17">
        <v>2879.1</v>
      </c>
      <c r="H17">
        <v>2355.6</v>
      </c>
      <c r="I17">
        <v>3376.3</v>
      </c>
      <c r="J17">
        <v>3819.8</v>
      </c>
      <c r="K17" s="19">
        <v>4000</v>
      </c>
    </row>
    <row r="18" spans="1:11" x14ac:dyDescent="0.35">
      <c r="A18" s="1" t="s">
        <v>13</v>
      </c>
      <c r="B18" s="6"/>
      <c r="C18" s="6"/>
      <c r="D18">
        <v>120.01</v>
      </c>
      <c r="E18">
        <v>253.83</v>
      </c>
      <c r="F18">
        <v>856.2</v>
      </c>
      <c r="G18">
        <v>1119.3</v>
      </c>
      <c r="H18">
        <v>1184.9000000000001</v>
      </c>
      <c r="I18">
        <v>2431.9</v>
      </c>
      <c r="J18">
        <v>3778.3</v>
      </c>
      <c r="K18">
        <v>4589.2</v>
      </c>
    </row>
    <row r="19" spans="1:11" x14ac:dyDescent="0.35">
      <c r="A19" s="1" t="s">
        <v>14</v>
      </c>
      <c r="B19" s="6"/>
      <c r="C19" s="6"/>
      <c r="D19">
        <v>467.87</v>
      </c>
      <c r="E19">
        <v>1784.52</v>
      </c>
      <c r="F19">
        <v>3773.5</v>
      </c>
      <c r="G19">
        <v>1848</v>
      </c>
      <c r="H19">
        <v>943.8</v>
      </c>
      <c r="I19">
        <v>1384.3</v>
      </c>
      <c r="J19">
        <v>1890.8</v>
      </c>
      <c r="K19">
        <v>922</v>
      </c>
    </row>
    <row r="20" spans="1:11" x14ac:dyDescent="0.35">
      <c r="A20" s="1" t="s">
        <v>15</v>
      </c>
      <c r="B20" s="6"/>
      <c r="C20" s="6"/>
      <c r="D20">
        <v>83</v>
      </c>
      <c r="E20">
        <v>417.5</v>
      </c>
      <c r="F20">
        <v>91.1</v>
      </c>
      <c r="G20">
        <v>117.6</v>
      </c>
      <c r="H20">
        <v>155.30000000000001</v>
      </c>
      <c r="I20">
        <v>165.3</v>
      </c>
      <c r="J20">
        <v>145.1</v>
      </c>
      <c r="K20">
        <v>5638.2</v>
      </c>
    </row>
    <row r="21" spans="1:11" x14ac:dyDescent="0.35">
      <c r="A21" s="6" t="s">
        <v>16</v>
      </c>
      <c r="B21" s="6"/>
      <c r="C21" s="6"/>
      <c r="D21">
        <v>15.7</v>
      </c>
      <c r="E21">
        <v>163.65</v>
      </c>
      <c r="F21">
        <v>279.8</v>
      </c>
      <c r="G21">
        <v>-44.8</v>
      </c>
      <c r="H21">
        <v>356.3</v>
      </c>
      <c r="I21">
        <v>287.7</v>
      </c>
      <c r="J21">
        <v>409.7</v>
      </c>
      <c r="K21">
        <v>541.20000000000005</v>
      </c>
    </row>
    <row r="22" spans="1:11" x14ac:dyDescent="0.35">
      <c r="A22" s="6" t="s">
        <v>17</v>
      </c>
      <c r="B22" s="6"/>
      <c r="C22" s="6"/>
      <c r="D22">
        <v>20.82</v>
      </c>
      <c r="E22">
        <v>28.1</v>
      </c>
      <c r="F22">
        <v>111.6</v>
      </c>
      <c r="G22">
        <v>174.5</v>
      </c>
      <c r="H22">
        <v>178.5</v>
      </c>
      <c r="I22">
        <v>247.3</v>
      </c>
      <c r="J22">
        <v>485.3</v>
      </c>
      <c r="K22">
        <v>735.7</v>
      </c>
    </row>
    <row r="23" spans="1:11" x14ac:dyDescent="0.35">
      <c r="A23" s="6" t="s">
        <v>18</v>
      </c>
      <c r="B23" s="6"/>
      <c r="C23" s="6"/>
      <c r="D23">
        <v>2.34</v>
      </c>
      <c r="E23">
        <v>1.37</v>
      </c>
      <c r="F23">
        <v>37.799999999999997</v>
      </c>
      <c r="G23">
        <v>53.6</v>
      </c>
      <c r="H23">
        <v>37.799999999999997</v>
      </c>
      <c r="I23">
        <v>41.9</v>
      </c>
      <c r="J23">
        <v>23.6</v>
      </c>
      <c r="K23">
        <v>24.3</v>
      </c>
    </row>
    <row r="24" spans="1:11" x14ac:dyDescent="0.35">
      <c r="A24" s="6" t="s">
        <v>19</v>
      </c>
      <c r="B24" s="6"/>
      <c r="C24" s="6"/>
      <c r="D24">
        <v>-367.35</v>
      </c>
      <c r="E24">
        <v>-1534.12</v>
      </c>
      <c r="F24">
        <v>-4237.3999999999996</v>
      </c>
      <c r="G24">
        <v>-2958.2</v>
      </c>
      <c r="H24">
        <v>-1698.3</v>
      </c>
      <c r="I24">
        <v>-2385.1</v>
      </c>
      <c r="J24">
        <v>-1742.9</v>
      </c>
      <c r="K24">
        <v>-1390.4</v>
      </c>
    </row>
    <row r="25" spans="1:11" x14ac:dyDescent="0.35">
      <c r="A25" s="6" t="s">
        <v>20</v>
      </c>
      <c r="B25" s="6"/>
      <c r="C25" s="6"/>
      <c r="D25">
        <v>4.67</v>
      </c>
      <c r="E25">
        <v>0.24</v>
      </c>
      <c r="F25">
        <v>-6.5</v>
      </c>
      <c r="G25">
        <v>-15.8</v>
      </c>
      <c r="H25">
        <v>2.7</v>
      </c>
      <c r="I25">
        <v>11.3</v>
      </c>
      <c r="J25">
        <v>33.6</v>
      </c>
      <c r="K25">
        <v>32</v>
      </c>
    </row>
    <row r="26" spans="1:11" x14ac:dyDescent="0.35">
      <c r="A26" s="6" t="s">
        <v>21</v>
      </c>
      <c r="B26" s="6"/>
      <c r="C26" s="6"/>
      <c r="D26">
        <v>-372.01</v>
      </c>
      <c r="E26">
        <v>-1534.96</v>
      </c>
      <c r="F26">
        <v>-4181.6000000000004</v>
      </c>
      <c r="G26">
        <v>-2842.2</v>
      </c>
      <c r="H26">
        <v>-1696.1</v>
      </c>
      <c r="I26">
        <v>-2392.9</v>
      </c>
      <c r="J26">
        <v>-1775.9</v>
      </c>
      <c r="K26">
        <v>-1417</v>
      </c>
    </row>
    <row r="27" spans="1:11" x14ac:dyDescent="0.35">
      <c r="A27" s="6" t="s">
        <v>22</v>
      </c>
      <c r="B27" s="6"/>
      <c r="C27" s="6"/>
      <c r="D27" s="6"/>
      <c r="E27" s="6"/>
      <c r="F27" s="6"/>
      <c r="G27" s="6"/>
      <c r="H27" s="6"/>
      <c r="I27" s="6"/>
      <c r="J27" s="6"/>
      <c r="K27" s="6"/>
    </row>
    <row r="31" spans="1:11" x14ac:dyDescent="0.35">
      <c r="A31" s="2" t="s">
        <v>23</v>
      </c>
      <c r="B31" s="1"/>
      <c r="C31" s="1"/>
      <c r="D31" s="1"/>
      <c r="E31" s="1"/>
      <c r="F31" s="1"/>
      <c r="G31" s="1"/>
      <c r="H31" s="1"/>
      <c r="I31" s="1"/>
      <c r="J31" s="1"/>
      <c r="K31" s="1"/>
    </row>
    <row r="32" spans="1:11" x14ac:dyDescent="0.35">
      <c r="A32" s="4" t="s">
        <v>7</v>
      </c>
      <c r="B32" s="5">
        <v>44651</v>
      </c>
      <c r="C32" s="5">
        <v>44742</v>
      </c>
      <c r="D32" s="5">
        <v>44834</v>
      </c>
      <c r="E32" s="5">
        <v>44926</v>
      </c>
      <c r="F32" s="5">
        <v>45016</v>
      </c>
      <c r="G32" s="5">
        <v>45107</v>
      </c>
      <c r="H32" s="5">
        <v>45199</v>
      </c>
      <c r="I32" s="5">
        <v>45291</v>
      </c>
      <c r="J32" s="5">
        <v>45382</v>
      </c>
      <c r="K32" s="5">
        <v>45473</v>
      </c>
    </row>
    <row r="33" spans="1:11" x14ac:dyDescent="0.35">
      <c r="A33" s="6" t="s">
        <v>8</v>
      </c>
      <c r="B33">
        <v>1540.9</v>
      </c>
      <c r="C33">
        <v>1679.6</v>
      </c>
      <c r="D33">
        <v>1914</v>
      </c>
      <c r="E33">
        <v>2062.1999999999998</v>
      </c>
      <c r="F33">
        <v>2334.5</v>
      </c>
      <c r="G33">
        <v>2341.6</v>
      </c>
      <c r="H33">
        <v>2518.6</v>
      </c>
      <c r="I33">
        <v>2850.5</v>
      </c>
      <c r="J33">
        <v>2267.1</v>
      </c>
      <c r="K33">
        <v>1501.6</v>
      </c>
    </row>
    <row r="34" spans="1:11" x14ac:dyDescent="0.35">
      <c r="A34" s="6" t="s">
        <v>24</v>
      </c>
      <c r="B34">
        <v>2308.1999999999998</v>
      </c>
      <c r="C34">
        <v>2319.5</v>
      </c>
      <c r="D34">
        <v>2461</v>
      </c>
      <c r="E34">
        <v>2392.9</v>
      </c>
      <c r="F34">
        <v>2465.9</v>
      </c>
      <c r="G34">
        <v>2652.4</v>
      </c>
      <c r="H34">
        <v>2749.6</v>
      </c>
      <c r="I34">
        <v>3013.8</v>
      </c>
      <c r="J34">
        <v>2734.4</v>
      </c>
      <c r="K34">
        <v>2295.1</v>
      </c>
    </row>
    <row r="35" spans="1:11" x14ac:dyDescent="0.35">
      <c r="A35" s="6" t="s">
        <v>16</v>
      </c>
      <c r="B35">
        <v>107.5</v>
      </c>
      <c r="C35">
        <v>102</v>
      </c>
      <c r="D35">
        <v>99.6</v>
      </c>
      <c r="E35">
        <v>83</v>
      </c>
      <c r="F35">
        <v>130.1</v>
      </c>
      <c r="G35">
        <v>122.6</v>
      </c>
      <c r="H35">
        <v>139.1</v>
      </c>
      <c r="I35">
        <v>148.6</v>
      </c>
      <c r="J35">
        <v>131.69999999999999</v>
      </c>
      <c r="K35">
        <v>137.5</v>
      </c>
    </row>
    <row r="36" spans="1:11" x14ac:dyDescent="0.35">
      <c r="A36" s="6" t="s">
        <v>17</v>
      </c>
      <c r="B36">
        <v>95.1</v>
      </c>
      <c r="C36">
        <v>97.2</v>
      </c>
      <c r="D36">
        <v>104.3</v>
      </c>
      <c r="E36">
        <v>124</v>
      </c>
      <c r="F36">
        <v>159.80000000000001</v>
      </c>
      <c r="G36">
        <v>159.1</v>
      </c>
      <c r="H36">
        <v>180.1</v>
      </c>
      <c r="I36">
        <v>200.9</v>
      </c>
      <c r="J36">
        <v>195.6</v>
      </c>
      <c r="K36">
        <v>178.4</v>
      </c>
    </row>
    <row r="37" spans="1:11" x14ac:dyDescent="0.35">
      <c r="A37" s="6" t="s">
        <v>18</v>
      </c>
      <c r="B37">
        <v>7</v>
      </c>
      <c r="C37">
        <v>5.5</v>
      </c>
      <c r="D37">
        <v>5.3</v>
      </c>
      <c r="E37">
        <v>5.4</v>
      </c>
      <c r="F37">
        <v>7.1</v>
      </c>
      <c r="G37">
        <v>6.7</v>
      </c>
      <c r="H37">
        <v>7</v>
      </c>
      <c r="I37">
        <v>5.4</v>
      </c>
      <c r="J37">
        <v>5.2</v>
      </c>
      <c r="K37">
        <v>4.2</v>
      </c>
    </row>
    <row r="38" spans="1:11" x14ac:dyDescent="0.35">
      <c r="A38" s="6" t="s">
        <v>19</v>
      </c>
      <c r="B38">
        <v>-761.9</v>
      </c>
      <c r="C38">
        <v>-640.6</v>
      </c>
      <c r="D38">
        <v>-557</v>
      </c>
      <c r="E38">
        <v>-377.1</v>
      </c>
      <c r="F38">
        <v>-168.2</v>
      </c>
      <c r="G38">
        <v>-354</v>
      </c>
      <c r="H38">
        <v>-279</v>
      </c>
      <c r="I38">
        <v>-221</v>
      </c>
      <c r="J38">
        <v>-536.4</v>
      </c>
      <c r="K38">
        <v>-838.6</v>
      </c>
    </row>
    <row r="39" spans="1:11" x14ac:dyDescent="0.35">
      <c r="A39" s="6" t="s">
        <v>20</v>
      </c>
      <c r="B39">
        <v>0.6</v>
      </c>
      <c r="C39">
        <v>4.8</v>
      </c>
      <c r="D39">
        <v>14.5</v>
      </c>
      <c r="E39">
        <v>15</v>
      </c>
      <c r="F39">
        <v>-0.7</v>
      </c>
      <c r="G39">
        <v>4.4000000000000004</v>
      </c>
      <c r="H39">
        <v>12.7</v>
      </c>
      <c r="I39">
        <v>0.7</v>
      </c>
      <c r="J39">
        <v>14.1</v>
      </c>
      <c r="K39">
        <v>1.5</v>
      </c>
    </row>
    <row r="40" spans="1:11" x14ac:dyDescent="0.35">
      <c r="A40" s="6" t="s">
        <v>21</v>
      </c>
      <c r="B40">
        <v>-761.4</v>
      </c>
      <c r="C40">
        <v>-644.4</v>
      </c>
      <c r="D40">
        <v>-571.1</v>
      </c>
      <c r="E40">
        <v>-392</v>
      </c>
      <c r="F40">
        <v>-168.4</v>
      </c>
      <c r="G40">
        <v>-357</v>
      </c>
      <c r="H40">
        <v>-290.5</v>
      </c>
      <c r="I40">
        <v>-219.8</v>
      </c>
      <c r="J40">
        <v>-549.6</v>
      </c>
      <c r="K40">
        <v>-838.9</v>
      </c>
    </row>
    <row r="41" spans="1:11" x14ac:dyDescent="0.35">
      <c r="A41" s="6" t="s">
        <v>25</v>
      </c>
      <c r="B41">
        <v>-767.3</v>
      </c>
      <c r="C41">
        <v>-639.9</v>
      </c>
      <c r="D41">
        <v>-547</v>
      </c>
      <c r="E41">
        <v>-330.7</v>
      </c>
      <c r="F41">
        <v>-131.4</v>
      </c>
      <c r="G41">
        <v>-310.8</v>
      </c>
      <c r="H41">
        <v>-231</v>
      </c>
      <c r="I41">
        <v>-163.30000000000001</v>
      </c>
      <c r="J41">
        <v>-467.3</v>
      </c>
      <c r="K41">
        <v>-793.5</v>
      </c>
    </row>
    <row r="42" spans="1:11" x14ac:dyDescent="0.35">
      <c r="A42" s="6"/>
      <c r="B42" s="1"/>
      <c r="C42" s="1"/>
      <c r="D42" s="1"/>
      <c r="E42" s="1"/>
      <c r="F42" s="1"/>
      <c r="G42" s="1"/>
      <c r="H42" s="1"/>
      <c r="I42" s="1"/>
      <c r="J42" s="1"/>
      <c r="K42" s="1"/>
    </row>
    <row r="43" spans="1:11" x14ac:dyDescent="0.35">
      <c r="A43" s="6"/>
      <c r="B43" s="1"/>
      <c r="C43" s="1"/>
      <c r="D43" s="1"/>
      <c r="E43" s="1"/>
      <c r="F43" s="1"/>
      <c r="G43" s="1"/>
      <c r="H43" s="1"/>
      <c r="I43" s="1"/>
      <c r="J43" s="1"/>
      <c r="K43" s="1"/>
    </row>
    <row r="44" spans="1:11" x14ac:dyDescent="0.35">
      <c r="A44" s="6"/>
      <c r="B44" s="1"/>
      <c r="C44" s="1"/>
      <c r="D44" s="1"/>
      <c r="E44" s="1"/>
      <c r="F44" s="1"/>
      <c r="G44" s="1"/>
      <c r="H44" s="1"/>
      <c r="I44" s="1"/>
      <c r="J44" s="1"/>
      <c r="K44" s="1"/>
    </row>
    <row r="45" spans="1:11" x14ac:dyDescent="0.35">
      <c r="A45" s="6"/>
      <c r="B45" s="1"/>
      <c r="C45" s="1"/>
      <c r="D45" s="1"/>
      <c r="E45" s="1"/>
      <c r="F45" s="1"/>
      <c r="G45" s="1"/>
      <c r="H45" s="1"/>
      <c r="I45" s="1"/>
      <c r="J45" s="1"/>
      <c r="K45" s="1"/>
    </row>
    <row r="46" spans="1:11" x14ac:dyDescent="0.35">
      <c r="A46" s="2" t="s">
        <v>26</v>
      </c>
      <c r="B46" s="1"/>
      <c r="C46" s="1"/>
      <c r="D46" s="1"/>
      <c r="E46" s="1"/>
      <c r="F46" s="1"/>
      <c r="G46" s="1"/>
      <c r="H46" s="1"/>
      <c r="I46" s="1"/>
      <c r="J46" s="1"/>
      <c r="K46" s="1"/>
    </row>
    <row r="47" spans="1:11" x14ac:dyDescent="0.35">
      <c r="A47" s="4" t="s">
        <v>7</v>
      </c>
      <c r="B47" s="5"/>
      <c r="C47" s="5"/>
      <c r="D47" s="5">
        <v>42094</v>
      </c>
      <c r="E47" s="5">
        <v>42460</v>
      </c>
      <c r="F47" s="5">
        <v>43555</v>
      </c>
      <c r="G47" s="5">
        <v>43921</v>
      </c>
      <c r="H47" s="5">
        <v>44286</v>
      </c>
      <c r="I47" s="5">
        <v>44651</v>
      </c>
      <c r="J47" s="5">
        <v>45016</v>
      </c>
      <c r="K47" s="5">
        <v>45382</v>
      </c>
    </row>
    <row r="48" spans="1:11" x14ac:dyDescent="0.35">
      <c r="A48" s="6" t="s">
        <v>27</v>
      </c>
      <c r="B48" s="1"/>
      <c r="C48" s="1"/>
      <c r="D48">
        <v>30.24</v>
      </c>
      <c r="E48">
        <v>46.23</v>
      </c>
      <c r="F48">
        <v>57.5</v>
      </c>
      <c r="G48">
        <v>60.4</v>
      </c>
      <c r="H48">
        <v>60.5</v>
      </c>
      <c r="I48">
        <v>64.900000000000006</v>
      </c>
      <c r="J48">
        <v>63.4</v>
      </c>
      <c r="K48">
        <v>63.6</v>
      </c>
    </row>
    <row r="49" spans="1:11" x14ac:dyDescent="0.35">
      <c r="A49" s="6" t="s">
        <v>28</v>
      </c>
      <c r="B49" s="1"/>
      <c r="C49" s="1"/>
      <c r="D49">
        <v>354.32</v>
      </c>
      <c r="E49">
        <v>2751.39</v>
      </c>
      <c r="F49">
        <v>5667.4</v>
      </c>
      <c r="G49">
        <v>8044.8</v>
      </c>
      <c r="H49">
        <v>6474.3</v>
      </c>
      <c r="I49">
        <v>14086.7</v>
      </c>
      <c r="J49">
        <v>12952.2</v>
      </c>
      <c r="K49">
        <v>13263</v>
      </c>
    </row>
    <row r="50" spans="1:11" x14ac:dyDescent="0.35">
      <c r="A50" s="6" t="s">
        <v>29</v>
      </c>
      <c r="B50" s="1"/>
      <c r="C50" s="1"/>
      <c r="D50" s="1"/>
      <c r="E50">
        <v>14.98</v>
      </c>
      <c r="F50">
        <v>932.3</v>
      </c>
      <c r="G50">
        <v>428.1</v>
      </c>
      <c r="H50">
        <v>612</v>
      </c>
      <c r="I50">
        <v>221.5</v>
      </c>
      <c r="J50">
        <v>223.3</v>
      </c>
      <c r="K50">
        <v>176.6</v>
      </c>
    </row>
    <row r="51" spans="1:11" x14ac:dyDescent="0.35">
      <c r="A51" s="6" t="s">
        <v>30</v>
      </c>
      <c r="B51" s="1"/>
      <c r="C51" s="1"/>
      <c r="D51">
        <v>316.37</v>
      </c>
      <c r="E51">
        <v>637.46</v>
      </c>
      <c r="F51">
        <v>2106.6</v>
      </c>
      <c r="G51">
        <v>1768.7</v>
      </c>
      <c r="H51">
        <v>2003.9</v>
      </c>
      <c r="I51">
        <v>3618.3</v>
      </c>
      <c r="J51">
        <v>4726.8999999999996</v>
      </c>
      <c r="K51">
        <v>3635.9</v>
      </c>
    </row>
    <row r="52" spans="1:11" x14ac:dyDescent="0.35">
      <c r="A52" s="2" t="s">
        <v>31</v>
      </c>
      <c r="B52" s="2"/>
      <c r="C52" s="2"/>
      <c r="D52">
        <v>700.93</v>
      </c>
      <c r="E52">
        <v>3450.06</v>
      </c>
      <c r="F52">
        <v>8763.7999999999993</v>
      </c>
      <c r="G52">
        <v>10302</v>
      </c>
      <c r="H52">
        <v>9150.7000000000007</v>
      </c>
      <c r="I52">
        <v>17991.400000000001</v>
      </c>
      <c r="J52">
        <v>17965.8</v>
      </c>
      <c r="K52">
        <v>17139.099999999999</v>
      </c>
    </row>
    <row r="53" spans="1:11" x14ac:dyDescent="0.35">
      <c r="A53" s="6" t="s">
        <v>32</v>
      </c>
      <c r="B53" s="1"/>
      <c r="C53" s="1"/>
      <c r="D53">
        <v>47.48</v>
      </c>
      <c r="E53">
        <v>81.010000000000005</v>
      </c>
      <c r="F53">
        <v>841.1</v>
      </c>
      <c r="G53">
        <v>593.5</v>
      </c>
      <c r="H53">
        <v>491.3</v>
      </c>
      <c r="I53">
        <v>913.9</v>
      </c>
      <c r="J53">
        <v>1208.8</v>
      </c>
      <c r="K53">
        <v>1250.9000000000001</v>
      </c>
    </row>
    <row r="54" spans="1:11" x14ac:dyDescent="0.35">
      <c r="A54" s="6" t="s">
        <v>33</v>
      </c>
      <c r="B54" s="1"/>
      <c r="C54" s="1"/>
      <c r="D54">
        <v>11.04</v>
      </c>
      <c r="E54">
        <v>58.81</v>
      </c>
      <c r="F54">
        <v>55.6</v>
      </c>
      <c r="G54">
        <v>14.7</v>
      </c>
      <c r="H54">
        <v>23.6</v>
      </c>
      <c r="I54">
        <v>12</v>
      </c>
      <c r="J54">
        <v>11.4</v>
      </c>
      <c r="K54">
        <v>10</v>
      </c>
    </row>
    <row r="55" spans="1:11" x14ac:dyDescent="0.35">
      <c r="A55" s="6" t="s">
        <v>34</v>
      </c>
      <c r="B55" s="1"/>
      <c r="C55" s="1"/>
      <c r="D55">
        <v>112.12</v>
      </c>
      <c r="E55">
        <v>2308.37</v>
      </c>
      <c r="F55">
        <v>2849.2</v>
      </c>
      <c r="G55">
        <v>3740</v>
      </c>
      <c r="H55">
        <v>413</v>
      </c>
      <c r="I55">
        <v>1229.5</v>
      </c>
      <c r="J55">
        <v>2697.1</v>
      </c>
      <c r="K55">
        <v>4628.3</v>
      </c>
    </row>
    <row r="56" spans="1:11" x14ac:dyDescent="0.35">
      <c r="A56" s="6" t="s">
        <v>35</v>
      </c>
      <c r="B56" s="1"/>
      <c r="C56" s="1"/>
      <c r="D56">
        <v>530.29</v>
      </c>
      <c r="E56">
        <v>1001.87</v>
      </c>
      <c r="F56">
        <v>5017.8999999999996</v>
      </c>
      <c r="G56">
        <v>5953.8</v>
      </c>
      <c r="H56">
        <v>8222.7999999999993</v>
      </c>
      <c r="I56">
        <v>15836</v>
      </c>
      <c r="J56">
        <v>14048.5</v>
      </c>
      <c r="K56">
        <v>11249.9</v>
      </c>
    </row>
    <row r="57" spans="1:11" x14ac:dyDescent="0.35">
      <c r="A57" s="2" t="s">
        <v>31</v>
      </c>
      <c r="B57" s="2"/>
      <c r="C57" s="2"/>
      <c r="D57">
        <v>700.93</v>
      </c>
      <c r="E57">
        <v>3450.06</v>
      </c>
      <c r="F57">
        <v>8763.7999999999993</v>
      </c>
      <c r="G57">
        <v>10302</v>
      </c>
      <c r="H57">
        <v>9150.7000000000007</v>
      </c>
      <c r="I57">
        <v>17991.400000000001</v>
      </c>
      <c r="J57">
        <v>17965.8</v>
      </c>
      <c r="K57">
        <v>17139.099999999999</v>
      </c>
    </row>
    <row r="58" spans="1:11" x14ac:dyDescent="0.35">
      <c r="A58" s="6" t="s">
        <v>36</v>
      </c>
      <c r="B58" s="6"/>
      <c r="C58" s="6"/>
      <c r="D58">
        <v>88.87</v>
      </c>
      <c r="E58">
        <v>125.05</v>
      </c>
      <c r="F58">
        <v>258.39999999999998</v>
      </c>
      <c r="G58">
        <v>301</v>
      </c>
      <c r="H58">
        <v>471.3</v>
      </c>
      <c r="I58">
        <v>746.4</v>
      </c>
      <c r="J58">
        <v>1252.8</v>
      </c>
      <c r="K58">
        <v>1650.7</v>
      </c>
    </row>
    <row r="59" spans="1:11" x14ac:dyDescent="0.35">
      <c r="A59" s="6" t="s">
        <v>37</v>
      </c>
      <c r="B59" s="1"/>
      <c r="C59" s="1"/>
      <c r="D59" s="1"/>
      <c r="E59" s="1"/>
      <c r="F59" s="1"/>
      <c r="G59" s="1"/>
      <c r="H59" s="1"/>
      <c r="I59" s="1"/>
      <c r="J59" s="1"/>
      <c r="K59" s="1"/>
    </row>
    <row r="60" spans="1:11" x14ac:dyDescent="0.35">
      <c r="A60" s="1" t="s">
        <v>38</v>
      </c>
      <c r="B60" s="1"/>
      <c r="C60" s="1"/>
      <c r="D60">
        <v>158.63999999999999</v>
      </c>
      <c r="E60">
        <v>475.14</v>
      </c>
      <c r="F60">
        <v>461.3</v>
      </c>
      <c r="G60">
        <v>540.20000000000005</v>
      </c>
      <c r="H60">
        <v>2876.4</v>
      </c>
      <c r="I60">
        <v>5202</v>
      </c>
      <c r="J60">
        <v>7039.5</v>
      </c>
      <c r="K60">
        <v>5246.2</v>
      </c>
    </row>
    <row r="61" spans="1:11" x14ac:dyDescent="0.35">
      <c r="A61" s="1" t="s">
        <v>39</v>
      </c>
      <c r="B61" s="1"/>
      <c r="C61" s="1"/>
      <c r="D61">
        <v>30237655</v>
      </c>
      <c r="E61">
        <v>46232832</v>
      </c>
      <c r="F61">
        <v>57533866</v>
      </c>
      <c r="G61">
        <v>60435025</v>
      </c>
      <c r="H61">
        <v>60482404</v>
      </c>
      <c r="I61">
        <v>648561414</v>
      </c>
      <c r="J61">
        <v>633788217</v>
      </c>
      <c r="K61" s="1"/>
    </row>
    <row r="62" spans="1:11" x14ac:dyDescent="0.35">
      <c r="A62" s="1" t="s">
        <v>40</v>
      </c>
      <c r="B62" s="1"/>
      <c r="C62" s="1"/>
      <c r="D62" s="1"/>
      <c r="E62" s="1"/>
      <c r="F62" s="1"/>
      <c r="G62" s="1"/>
      <c r="H62" s="1"/>
      <c r="I62">
        <v>91055952</v>
      </c>
      <c r="J62" s="1"/>
      <c r="K62" s="1"/>
    </row>
    <row r="63" spans="1:11" x14ac:dyDescent="0.35">
      <c r="A63" s="1" t="s">
        <v>41</v>
      </c>
      <c r="B63" s="1"/>
      <c r="C63" s="1"/>
      <c r="D63">
        <v>10</v>
      </c>
      <c r="E63">
        <v>10</v>
      </c>
      <c r="F63">
        <v>10</v>
      </c>
      <c r="G63">
        <v>10</v>
      </c>
      <c r="H63">
        <v>10</v>
      </c>
      <c r="I63">
        <v>1</v>
      </c>
      <c r="J63">
        <v>1</v>
      </c>
      <c r="K63">
        <v>1</v>
      </c>
    </row>
    <row r="64" spans="1:11" x14ac:dyDescent="0.35">
      <c r="A64" s="1"/>
      <c r="B64" s="1"/>
      <c r="C64" s="1"/>
      <c r="D64" s="1"/>
      <c r="E64" s="1"/>
      <c r="F64" s="1"/>
      <c r="G64" s="1"/>
      <c r="H64" s="1"/>
      <c r="I64" s="1"/>
      <c r="J64" s="1"/>
      <c r="K64" s="1"/>
    </row>
    <row r="65" spans="1:11" x14ac:dyDescent="0.35">
      <c r="A65" s="6"/>
      <c r="B65" s="1"/>
      <c r="C65" s="1"/>
      <c r="D65" s="1"/>
      <c r="E65" s="1"/>
      <c r="F65" s="1"/>
      <c r="G65" s="1"/>
      <c r="H65" s="1"/>
      <c r="I65" s="1"/>
      <c r="J65" s="1"/>
      <c r="K65" s="1"/>
    </row>
    <row r="66" spans="1:11" x14ac:dyDescent="0.35">
      <c r="A66" s="6"/>
      <c r="B66" s="1"/>
      <c r="C66" s="1"/>
      <c r="D66" s="1"/>
      <c r="E66" s="1"/>
      <c r="F66" s="1"/>
      <c r="G66" s="1"/>
      <c r="H66" s="1"/>
      <c r="I66" s="1"/>
      <c r="J66" s="1"/>
      <c r="K66" s="1"/>
    </row>
    <row r="67" spans="1:11" x14ac:dyDescent="0.35">
      <c r="A67" s="6"/>
      <c r="B67" s="1"/>
      <c r="C67" s="1"/>
      <c r="D67" s="1"/>
      <c r="E67" s="1"/>
      <c r="F67" s="1"/>
      <c r="G67" s="1"/>
      <c r="H67" s="1"/>
      <c r="I67" s="1"/>
      <c r="J67" s="1"/>
      <c r="K67" s="1"/>
    </row>
    <row r="68" spans="1:11" x14ac:dyDescent="0.35">
      <c r="A68" s="6"/>
      <c r="B68" s="1"/>
      <c r="C68" s="1"/>
      <c r="D68" s="1"/>
      <c r="E68" s="1"/>
      <c r="F68" s="1"/>
      <c r="G68" s="1"/>
      <c r="H68" s="1"/>
      <c r="I68" s="1"/>
      <c r="J68" s="1"/>
      <c r="K68" s="1"/>
    </row>
    <row r="69" spans="1:11" x14ac:dyDescent="0.35">
      <c r="A69" s="6"/>
      <c r="B69" s="1"/>
      <c r="C69" s="1"/>
      <c r="D69" s="1"/>
      <c r="E69" s="1"/>
      <c r="F69" s="1"/>
      <c r="G69" s="1"/>
      <c r="H69" s="1"/>
      <c r="I69" s="1"/>
      <c r="J69" s="1"/>
      <c r="K69" s="1"/>
    </row>
    <row r="70" spans="1:11" x14ac:dyDescent="0.35">
      <c r="A70" s="6"/>
      <c r="B70" s="1"/>
      <c r="C70" s="1"/>
      <c r="D70" s="1"/>
      <c r="E70" s="1"/>
      <c r="F70" s="1"/>
      <c r="G70" s="1"/>
      <c r="H70" s="1"/>
      <c r="I70" s="1"/>
      <c r="J70" s="1"/>
      <c r="K70" s="1"/>
    </row>
    <row r="71" spans="1:11" x14ac:dyDescent="0.35">
      <c r="A71" s="2" t="s">
        <v>42</v>
      </c>
      <c r="B71" s="1"/>
      <c r="C71" s="1"/>
      <c r="D71" s="1"/>
      <c r="E71" s="1"/>
      <c r="F71" s="1"/>
      <c r="G71" s="1"/>
      <c r="H71" s="1"/>
      <c r="I71" s="1"/>
      <c r="J71" s="1"/>
      <c r="K71" s="1"/>
    </row>
    <row r="72" spans="1:11" x14ac:dyDescent="0.35">
      <c r="A72" s="4" t="s">
        <v>7</v>
      </c>
      <c r="B72" s="5"/>
      <c r="C72" s="5"/>
      <c r="D72" s="5">
        <v>42094</v>
      </c>
      <c r="E72" s="5">
        <v>42460</v>
      </c>
      <c r="F72" s="5">
        <v>43555</v>
      </c>
      <c r="G72" s="5">
        <v>43921</v>
      </c>
      <c r="H72" s="5">
        <v>44286</v>
      </c>
      <c r="I72" s="5">
        <v>44651</v>
      </c>
      <c r="J72" s="5">
        <v>45016</v>
      </c>
      <c r="K72" s="5">
        <v>45382</v>
      </c>
    </row>
    <row r="73" spans="1:11" x14ac:dyDescent="0.35">
      <c r="A73" s="6" t="s">
        <v>43</v>
      </c>
      <c r="B73" s="2"/>
      <c r="C73" s="2"/>
      <c r="D73">
        <v>-333.97</v>
      </c>
      <c r="E73">
        <v>-1404.96</v>
      </c>
      <c r="F73">
        <v>-4475.8999999999996</v>
      </c>
      <c r="G73">
        <v>-2376.6</v>
      </c>
      <c r="H73">
        <v>-2082.5</v>
      </c>
      <c r="I73">
        <v>-1236.3</v>
      </c>
      <c r="J73">
        <v>415.6</v>
      </c>
      <c r="K73">
        <v>650.79999999999995</v>
      </c>
    </row>
    <row r="74" spans="1:11" x14ac:dyDescent="0.35">
      <c r="A74" s="6" t="s">
        <v>44</v>
      </c>
      <c r="B74" s="6"/>
      <c r="C74" s="6"/>
      <c r="D74">
        <v>-20.45</v>
      </c>
      <c r="E74">
        <v>-2229.0500000000002</v>
      </c>
      <c r="F74">
        <v>1905.6</v>
      </c>
      <c r="G74">
        <v>-1997</v>
      </c>
      <c r="H74">
        <v>1933.8</v>
      </c>
      <c r="I74">
        <v>-5483.7</v>
      </c>
      <c r="J74">
        <v>2627.8</v>
      </c>
      <c r="K74">
        <v>318</v>
      </c>
    </row>
    <row r="75" spans="1:11" x14ac:dyDescent="0.35">
      <c r="A75" s="6" t="s">
        <v>45</v>
      </c>
      <c r="B75" s="6"/>
      <c r="C75" s="6"/>
      <c r="D75">
        <v>458.9</v>
      </c>
      <c r="E75">
        <v>3937.97</v>
      </c>
      <c r="F75">
        <v>2110.5</v>
      </c>
      <c r="G75">
        <v>5159.8999999999996</v>
      </c>
      <c r="H75">
        <v>-222.1</v>
      </c>
      <c r="I75">
        <v>8053.5</v>
      </c>
      <c r="J75">
        <v>-1112.3</v>
      </c>
      <c r="K75">
        <v>-22.1</v>
      </c>
    </row>
    <row r="76" spans="1:11" x14ac:dyDescent="0.35">
      <c r="A76" s="6" t="s">
        <v>46</v>
      </c>
      <c r="B76" s="2"/>
      <c r="C76" s="2"/>
      <c r="D76">
        <v>104.48</v>
      </c>
      <c r="E76">
        <v>303.95999999999998</v>
      </c>
      <c r="F76">
        <v>-459.8</v>
      </c>
      <c r="G76">
        <v>786.3</v>
      </c>
      <c r="H76">
        <v>-370.8</v>
      </c>
      <c r="I76">
        <v>1333.5</v>
      </c>
      <c r="J76">
        <v>1931.1</v>
      </c>
      <c r="K76">
        <v>946.7</v>
      </c>
    </row>
    <row r="77" spans="1:11" x14ac:dyDescent="0.35">
      <c r="A77" s="6"/>
      <c r="B77" s="1"/>
      <c r="C77" s="1"/>
      <c r="D77" s="1"/>
      <c r="E77" s="1"/>
      <c r="F77" s="1"/>
      <c r="G77" s="1"/>
      <c r="H77" s="1"/>
      <c r="I77" s="1"/>
      <c r="J77" s="1"/>
      <c r="K77" s="1"/>
    </row>
    <row r="81" spans="1:11" x14ac:dyDescent="0.35">
      <c r="A81" s="2" t="s">
        <v>47</v>
      </c>
      <c r="B81" s="2"/>
      <c r="C81" s="2"/>
      <c r="D81" s="2"/>
      <c r="E81" s="2"/>
      <c r="F81" s="2"/>
      <c r="G81" s="2"/>
      <c r="H81" s="2"/>
      <c r="I81">
        <v>528.45000000000005</v>
      </c>
      <c r="J81">
        <v>636.79999999999995</v>
      </c>
      <c r="K81">
        <v>402.65</v>
      </c>
    </row>
    <row r="82" spans="1:11" x14ac:dyDescent="0.35">
      <c r="A82" s="1"/>
      <c r="B82" s="1"/>
      <c r="C82" s="1"/>
      <c r="D82" s="1"/>
      <c r="E82" s="1"/>
      <c r="F82" s="1"/>
      <c r="G82" s="1"/>
      <c r="H82" s="1"/>
      <c r="I82" s="1"/>
      <c r="J82" s="1"/>
      <c r="K82" s="1"/>
    </row>
    <row r="83" spans="1:11" x14ac:dyDescent="0.35">
      <c r="A83" s="2" t="s">
        <v>48</v>
      </c>
      <c r="B83" s="2"/>
      <c r="C83" s="2"/>
      <c r="D83" s="2"/>
      <c r="E83" s="2"/>
      <c r="F83" s="2"/>
      <c r="G83" s="2"/>
      <c r="H83" s="2"/>
      <c r="I83" s="2"/>
      <c r="J83" s="2"/>
      <c r="K83" s="2"/>
    </row>
    <row r="84" spans="1:11" x14ac:dyDescent="0.35">
      <c r="A84" s="1" t="s">
        <v>49</v>
      </c>
      <c r="B84" s="7">
        <v>9.11</v>
      </c>
      <c r="C84" s="7">
        <v>9.11</v>
      </c>
      <c r="D84" s="7">
        <v>3.02</v>
      </c>
      <c r="E84" s="7">
        <v>4.62</v>
      </c>
      <c r="F84" s="7">
        <v>5.75</v>
      </c>
      <c r="G84" s="7">
        <v>6.04</v>
      </c>
      <c r="H84" s="7">
        <v>6.05</v>
      </c>
      <c r="I84" s="7">
        <v>64.86</v>
      </c>
      <c r="J84" s="7">
        <v>63.38</v>
      </c>
      <c r="K84" s="7">
        <v>63.54</v>
      </c>
    </row>
  </sheetData>
  <mergeCells count="1">
    <mergeCell ref="B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Income Statement</vt:lpstr>
      <vt:lpstr>Balance sheet</vt:lpstr>
      <vt:lpstr>Cash Flow Statement</vt:lpstr>
      <vt:lpstr>Ratios</vt:lpstr>
      <vt:lpstr>Projections</vt:lpstr>
      <vt:lpstr>DCF</vt:lpstr>
      <vt:lpstr>Data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Prakhar Gupta</dc:creator>
  <cp:lastModifiedBy>Prakhar Gupta</cp:lastModifiedBy>
  <dcterms:created xsi:type="dcterms:W3CDTF">2024-08-12T18:22:13Z</dcterms:created>
  <dcterms:modified xsi:type="dcterms:W3CDTF">2024-08-14T18:13:34Z</dcterms:modified>
</cp:coreProperties>
</file>