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kh\Desktop\Fundamental Ananlysis\"/>
    </mc:Choice>
  </mc:AlternateContent>
  <xr:revisionPtr revIDLastSave="0" documentId="13_ncr:1_{D8C919FC-78CC-4807-9DF4-199CFA5DB852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Balance Sheet" sheetId="1" r:id="rId1"/>
    <sheet name="Profit And Loss" sheetId="4" r:id="rId2"/>
    <sheet name="FCFF" sheetId="5" r:id="rId3"/>
  </sheets>
  <calcPr calcId="191029"/>
</workbook>
</file>

<file path=xl/calcChain.xml><?xml version="1.0" encoding="utf-8"?>
<calcChain xmlns="http://schemas.openxmlformats.org/spreadsheetml/2006/main">
  <c r="D24" i="5" l="1"/>
  <c r="E24" i="5"/>
  <c r="E14" i="5" s="1"/>
  <c r="E17" i="5" s="1"/>
  <c r="L10" i="5" s="1"/>
  <c r="C24" i="5"/>
  <c r="C14" i="5"/>
  <c r="C17" i="5" s="1"/>
  <c r="D14" i="5"/>
  <c r="D17" i="5" s="1"/>
  <c r="B14" i="5"/>
  <c r="B17" i="5" s="1"/>
  <c r="G9" i="5"/>
  <c r="G10" i="5"/>
  <c r="H9" i="5"/>
  <c r="F16" i="5"/>
  <c r="E16" i="5"/>
  <c r="C16" i="5"/>
  <c r="D16" i="5"/>
  <c r="B16" i="5"/>
  <c r="F11" i="5"/>
  <c r="B22" i="5"/>
  <c r="H10" i="5"/>
  <c r="I10" i="5" s="1"/>
  <c r="J10" i="5" s="1"/>
  <c r="K10" i="5" s="1"/>
  <c r="K5" i="5"/>
  <c r="J5" i="5"/>
  <c r="I5" i="5"/>
  <c r="G5" i="5"/>
  <c r="H5" i="5" s="1"/>
  <c r="G4" i="5"/>
  <c r="K3" i="5"/>
  <c r="J3" i="5"/>
  <c r="I3" i="5"/>
  <c r="H3" i="5"/>
  <c r="G3" i="5"/>
  <c r="C11" i="5"/>
  <c r="D11" i="5"/>
  <c r="E11" i="5"/>
  <c r="B11" i="5"/>
  <c r="C4" i="5"/>
  <c r="D4" i="5"/>
  <c r="E4" i="5"/>
  <c r="F4" i="5"/>
  <c r="B4" i="5"/>
  <c r="C15" i="5"/>
  <c r="D15" i="5"/>
  <c r="E15" i="5"/>
  <c r="F15" i="5"/>
  <c r="B15" i="5"/>
  <c r="E13" i="5"/>
  <c r="F13" i="5"/>
  <c r="B13" i="5"/>
  <c r="C12" i="5"/>
  <c r="C13" i="5" s="1"/>
  <c r="D12" i="5"/>
  <c r="D13" i="5" s="1"/>
  <c r="E12" i="5"/>
  <c r="F12" i="5"/>
  <c r="B12" i="5"/>
  <c r="D10" i="5"/>
  <c r="E10" i="5"/>
  <c r="F10" i="5"/>
  <c r="C10" i="5"/>
  <c r="F8" i="5"/>
  <c r="F7" i="5"/>
  <c r="C3" i="5"/>
  <c r="D3" i="5"/>
  <c r="E3" i="5"/>
  <c r="F3" i="5"/>
  <c r="B3" i="5"/>
  <c r="D8" i="5"/>
  <c r="E8" i="5"/>
  <c r="C8" i="5"/>
  <c r="D7" i="5"/>
  <c r="E7" i="5"/>
  <c r="C7" i="5"/>
  <c r="C6" i="5"/>
  <c r="D6" i="5"/>
  <c r="C9" i="5" s="1"/>
  <c r="E6" i="5"/>
  <c r="F6" i="5"/>
  <c r="B6" i="5"/>
  <c r="C5" i="5"/>
  <c r="D5" i="5"/>
  <c r="E5" i="5"/>
  <c r="F5" i="5"/>
  <c r="B5" i="5"/>
  <c r="I9" i="5" l="1"/>
  <c r="H11" i="5"/>
  <c r="G11" i="5"/>
  <c r="D9" i="5"/>
  <c r="E9" i="5"/>
  <c r="I11" i="5" l="1"/>
  <c r="J9" i="5"/>
  <c r="K9" i="5" l="1"/>
  <c r="K11" i="5" s="1"/>
  <c r="J11" i="5"/>
</calcChain>
</file>

<file path=xl/sharedStrings.xml><?xml version="1.0" encoding="utf-8"?>
<sst xmlns="http://schemas.openxmlformats.org/spreadsheetml/2006/main" count="141" uniqueCount="128">
  <si>
    <t>Britannia Industries</t>
  </si>
  <si>
    <t>Consolidated Balance Sheet</t>
  </si>
  <si>
    <t>Mar 21</t>
  </si>
  <si>
    <t>Mar 20</t>
  </si>
  <si>
    <t>Mar 19</t>
  </si>
  <si>
    <t>Mar 18</t>
  </si>
  <si>
    <t>Mar 17</t>
  </si>
  <si>
    <t>12 mths</t>
  </si>
  <si>
    <t>12 mths</t>
  </si>
  <si>
    <t>12 mths</t>
  </si>
  <si>
    <t>12 mths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</si>
  <si>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</si>
  <si>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</si>
  <si>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</si>
  <si>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</si>
  <si>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</si>
  <si>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</si>
  <si>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</si>
  <si>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</si>
  <si>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</si>
  <si>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Minority Interest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</si>
  <si>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</si>
  <si>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</si>
  <si>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</si>
  <si>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</si>
  <si>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</si>
  <si>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</si>
  <si>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</si>
  <si>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</si>
  <si>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</si>
  <si>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</si>
  <si>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</si>
  <si>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</si>
  <si>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</si>
  <si>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</si>
  <si>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</si>
  <si>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</si>
  <si>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</si>
  <si>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</si>
  <si>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</si>
  <si>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</si>
  <si>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</si>
  <si>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</si>
  <si>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</si>
  <si>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</si>
  <si>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</si>
  <si>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</si>
  <si>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</si>
  <si>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</si>
  <si>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</si>
  <si>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</si>
  <si>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</si>
  <si>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</si>
  <si>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</si>
  <si>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ADDITIONAL INFORMATION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</si>
  <si>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</si>
  <si>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</si>
  <si>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</si>
  <si>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</si>
  <si>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</si>
  <si>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CURRENT INVESTMENTS</t>
  </si>
  <si>
    <t>Consolidated Profit &amp; Loss</t>
  </si>
  <si>
    <t>INCOME</t>
  </si>
  <si>
    <t>Revenue From Operations [Gross]</t>
  </si>
  <si>
    <t>Less: Excise/Sevice Tax/Other Levies</t>
  </si>
  <si>
    <t>Revenue From Operations [Net]</t>
  </si>
  <si>
    <t>Other Operating Revenues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</si>
  <si>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</si>
  <si>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</si>
  <si>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</si>
  <si>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</si>
  <si>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</si>
  <si>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</si>
  <si>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Employee Benefit Expenses</t>
  </si>
  <si>
    <t>Finance Costs</t>
  </si>
  <si>
    <t>Depreciation And Amortisation Expenses</t>
  </si>
  <si>
    <t>Other Expenses</t>
  </si>
  <si>
    <t>Total Expenses</t>
  </si>
  <si>
    <t>Exceptional Items</t>
  </si>
  <si>
    <t>Profit/Loss Before Tax</t>
  </si>
  <si>
    <t>Tax Expenses-Continued Operations</t>
  </si>
  <si>
    <t>Current Tax</t>
  </si>
  <si>
    <t>Deferred Tax</t>
  </si>
  <si>
    <t>Total Tax Expenses</t>
  </si>
  <si>
    <t>Profit/Loss After Tax And Before</t>
  </si>
  <si>
    <t>ExtraOrdinary Items</t>
  </si>
  <si>
    <t>Profit/Loss For The Period</t>
  </si>
  <si>
    <t>Share Of Profit/Loss Of Associates</t>
  </si>
  <si>
    <t>Consolidated Profit/Loss After MI And</t>
  </si>
  <si>
    <t>Associates</t>
  </si>
  <si>
    <t>EARNINGS PER SHARE</t>
  </si>
  <si>
    <t>Basic EPS (Rs.)</t>
  </si>
  <si>
    <t>Diluted EPS (Rs.)</t>
  </si>
  <si>
    <t>DIVIDEND AND DIVIDEND PERCENTAGE</t>
  </si>
  <si>
    <t>Equity Share Dividend</t>
  </si>
  <si>
    <t>Tax On Dividend</t>
  </si>
  <si>
    <t>Non-Current Investments Unquoted Book Value</t>
  </si>
  <si>
    <t>Current Investments Unquoted Book Value</t>
  </si>
  <si>
    <t>Year</t>
  </si>
  <si>
    <t>Weights for each year</t>
  </si>
  <si>
    <t xml:space="preserve">EBIT </t>
  </si>
  <si>
    <t>Tax rate</t>
  </si>
  <si>
    <t>Depreciation</t>
  </si>
  <si>
    <t>Change in current assets</t>
  </si>
  <si>
    <t>Change in current liabilities</t>
  </si>
  <si>
    <t>Change in NWC</t>
  </si>
  <si>
    <t>CapEx</t>
  </si>
  <si>
    <t>NWC</t>
  </si>
  <si>
    <t>Changes In Inventories Of FG,WIP And stock-in trade</t>
  </si>
  <si>
    <t>Profit/Loss Before Exceptional, ExtraOrdinary Items And Tax</t>
  </si>
  <si>
    <t>WACC</t>
  </si>
  <si>
    <t>Weight of Equity</t>
  </si>
  <si>
    <t>Weight of Debt</t>
  </si>
  <si>
    <t>Cost of equity (CAPM)</t>
  </si>
  <si>
    <t xml:space="preserve">Interest on Debt </t>
  </si>
  <si>
    <t>Cost of Debt</t>
  </si>
  <si>
    <t>Profit/Loss From Continuing Operations</t>
  </si>
  <si>
    <t>FCFF</t>
  </si>
  <si>
    <t>PERPETUAL GROWTH</t>
  </si>
  <si>
    <t>Rate</t>
  </si>
  <si>
    <t>Weights</t>
  </si>
  <si>
    <t>Mean</t>
  </si>
  <si>
    <t>Inflation Rate</t>
  </si>
  <si>
    <t>GDP Growth Rate</t>
  </si>
  <si>
    <t>Sales Growth Rate</t>
  </si>
  <si>
    <t>Industry Growth Rate</t>
  </si>
  <si>
    <t>Terminal Value</t>
  </si>
  <si>
    <t>Dividend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</si>
</sst>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2"/>
      <name val="Arial Bold"/>
      <family val="2"/>
    </font>
    <font>
      <sz val="9"/>
      <name val="Arial Bold"/>
      <family val="2"/>
    </font>
    <font>
      <sz val="9"/>
      <name val="Tahoma Bold"/>
      <family val="2"/>
    </font>
    <font>
      <sz val="9"/>
      <color rgb="FF0000FF"/>
      <name val="Arial Bold"/>
      <family val="2"/>
    </font>
    <font>
      <sz val="9"/>
      <color rgb="FF002060"/>
      <name val="Arial Bold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5" fillId="0" borderId="0" xfId="0" applyNumberFormat="1" applyFont="1"/>
    <xf numFmtId="0" fontId="1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3" fillId="2" borderId="0" xfId="0" applyNumberFormat="1" applyFont="1" applyFill="1"/>
    <xf numFmtId="0" fontId="7" fillId="0" borderId="1" xfId="0" applyNumberFormat="1" applyFont="1" applyBorder="1"/>
    <xf numFmtId="0" fontId="0" fillId="0" borderId="1" xfId="0" applyBorder="1"/>
    <xf numFmtId="0" fontId="4" fillId="0" borderId="1" xfId="0" applyNumberFormat="1" applyFont="1" applyBorder="1"/>
    <xf numFmtId="0" fontId="4" fillId="3" borderId="1" xfId="0" applyNumberFormat="1" applyFont="1" applyFill="1" applyBorder="1"/>
    <xf numFmtId="0" fontId="2" fillId="0" borderId="1" xfId="0" applyNumberFormat="1" applyFont="1" applyBorder="1"/>
    <xf numFmtId="0" fontId="4" fillId="4" borderId="1" xfId="0" applyNumberFormat="1" applyFont="1" applyFill="1" applyBorder="1"/>
    <xf numFmtId="2" fontId="2" fillId="0" borderId="1" xfId="0" applyNumberFormat="1" applyFont="1" applyBorder="1"/>
    <xf numFmtId="0" fontId="4" fillId="5" borderId="1" xfId="0" applyNumberFormat="1" applyFont="1" applyFill="1" applyBorder="1"/>
    <xf numFmtId="4" fontId="2" fillId="0" borderId="1" xfId="0" applyNumberFormat="1" applyFont="1" applyBorder="1"/>
    <xf numFmtId="0" fontId="4" fillId="3" borderId="1" xfId="0" applyFont="1" applyFill="1" applyBorder="1"/>
    <xf numFmtId="0" fontId="2" fillId="0" borderId="1" xfId="0" applyFont="1" applyBorder="1"/>
    <xf numFmtId="0" fontId="4" fillId="4" borderId="1" xfId="0" applyFont="1" applyFill="1" applyBorder="1"/>
    <xf numFmtId="0" fontId="4" fillId="0" borderId="1" xfId="0" applyFont="1" applyBorder="1"/>
    <xf numFmtId="4" fontId="4" fillId="4" borderId="1" xfId="0" applyNumberFormat="1" applyFont="1" applyFill="1" applyBorder="1"/>
    <xf numFmtId="2" fontId="4" fillId="4" borderId="1" xfId="0" applyNumberFormat="1" applyFont="1" applyFill="1" applyBorder="1"/>
    <xf numFmtId="0" fontId="0" fillId="3" borderId="1" xfId="0" applyFill="1" applyBorder="1"/>
    <xf numFmtId="2" fontId="4" fillId="5" borderId="1" xfId="0" applyNumberFormat="1" applyFont="1" applyFill="1" applyBorder="1"/>
    <xf numFmtId="4" fontId="4" fillId="5" borderId="1" xfId="0" applyNumberFormat="1" applyFont="1" applyFill="1" applyBorder="1"/>
    <xf numFmtId="0" fontId="3" fillId="0" borderId="0" xfId="0" applyNumberFormat="1" applyFont="1" applyFill="1"/>
    <xf numFmtId="0" fontId="8" fillId="0" borderId="0" xfId="0" applyFont="1" applyFill="1"/>
    <xf numFmtId="0" fontId="0" fillId="0" borderId="0" xfId="0" applyFill="1"/>
    <xf numFmtId="0" fontId="8" fillId="3" borderId="1" xfId="0" applyFont="1" applyFill="1" applyBorder="1"/>
    <xf numFmtId="0" fontId="0" fillId="6" borderId="1" xfId="0" applyFill="1" applyBorder="1"/>
    <xf numFmtId="4" fontId="0" fillId="0" borderId="1" xfId="0" applyNumberFormat="1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zoomScale="68" zoomScaleNormal="68" workbookViewId="0">
      <pane ySplit="3" topLeftCell="A4" activePane="bottomLeft" state="frozen"/>
      <selection pane="bottomLeft" activeCell="B49" sqref="B49"/>
    </sheetView>
  </sheetViews>
  <sheetFormatPr defaultRowHeight="12.5" x14ac:dyDescent="0.25"/>
  <cols>
    <col min="1" max="1" width="35.26953125" bestFit="1" customWidth="1"/>
    <col min="4" max="4" width="9.1796875" customWidth="1"/>
  </cols>
  <sheetData>
    <row r="1" spans="1:6" ht="15.5" x14ac:dyDescent="0.35">
      <c r="A1" s="10" t="s">
        <v>0</v>
      </c>
      <c r="B1" s="3"/>
      <c r="C1" s="3"/>
      <c r="D1" s="3"/>
      <c r="E1" s="3"/>
      <c r="F1" s="29"/>
    </row>
    <row r="2" spans="1:6" x14ac:dyDescent="0.25">
      <c r="A2" s="11" t="s">
        <v>1</v>
      </c>
      <c r="B2" s="12"/>
      <c r="C2" s="12"/>
      <c r="D2" s="13"/>
      <c r="E2" s="12"/>
      <c r="F2" s="12"/>
    </row>
    <row r="3" spans="1:6" x14ac:dyDescent="0.25">
      <c r="A3" s="12"/>
      <c r="B3" s="14" t="s">
        <v>6</v>
      </c>
      <c r="C3" s="14" t="s">
        <v>5</v>
      </c>
      <c r="D3" s="14" t="s">
        <v>4</v>
      </c>
      <c r="E3" s="14" t="s">
        <v>3</v>
      </c>
      <c r="F3" s="14" t="s">
        <v>2</v>
      </c>
    </row>
    <row r="4" spans="1:6" x14ac:dyDescent="0.25">
      <c r="A4" s="12"/>
      <c r="B4" s="15" t="s">
        <v>11</v>
      </c>
      <c r="C4" s="15" t="s">
        <v>10</v>
      </c>
      <c r="D4" s="15" t="s">
        <v>9</v>
      </c>
      <c r="E4" s="15" t="s">
        <v>8</v>
      </c>
      <c r="F4" s="15" t="s">
        <v>7</v>
      </c>
    </row>
    <row r="5" spans="1:6" x14ac:dyDescent="0.25">
      <c r="A5" s="16" t="s">
        <v>12</v>
      </c>
      <c r="B5" s="12"/>
      <c r="C5" s="12"/>
      <c r="D5" s="12"/>
      <c r="E5" s="12"/>
      <c r="F5" s="12"/>
    </row>
    <row r="6" spans="1:6" x14ac:dyDescent="0.25">
      <c r="A6" s="14" t="s">
        <v>13</v>
      </c>
      <c r="B6" s="12"/>
      <c r="C6" s="12"/>
      <c r="D6" s="12"/>
      <c r="E6" s="12"/>
      <c r="F6" s="12"/>
    </row>
    <row r="7" spans="1:6" x14ac:dyDescent="0.25">
      <c r="A7" s="15" t="s">
        <v>14</v>
      </c>
      <c r="B7" s="17">
        <v>24</v>
      </c>
      <c r="C7" s="17">
        <v>24.01</v>
      </c>
      <c r="D7" s="17">
        <v>24.03</v>
      </c>
      <c r="E7" s="17">
        <v>24.05</v>
      </c>
      <c r="F7" s="17">
        <v>24.09</v>
      </c>
    </row>
    <row r="8" spans="1:6" x14ac:dyDescent="0.25">
      <c r="A8" s="18" t="s">
        <v>15</v>
      </c>
      <c r="B8" s="27">
        <v>24</v>
      </c>
      <c r="C8" s="27">
        <v>24.01</v>
      </c>
      <c r="D8" s="27">
        <v>24.03</v>
      </c>
      <c r="E8" s="27">
        <v>24.05</v>
      </c>
      <c r="F8" s="27">
        <v>24.09</v>
      </c>
    </row>
    <row r="9" spans="1:6" x14ac:dyDescent="0.25">
      <c r="A9" s="15" t="s">
        <v>16</v>
      </c>
      <c r="B9" s="19">
        <v>2672.42</v>
      </c>
      <c r="C9" s="19">
        <v>3382.22</v>
      </c>
      <c r="D9" s="19">
        <v>4209.29</v>
      </c>
      <c r="E9" s="19">
        <v>4344.37</v>
      </c>
      <c r="F9" s="19">
        <v>3523.57</v>
      </c>
    </row>
    <row r="10" spans="1:6" x14ac:dyDescent="0.25">
      <c r="A10" s="18" t="s">
        <v>17</v>
      </c>
      <c r="B10" s="28">
        <v>2672.42</v>
      </c>
      <c r="C10" s="28">
        <v>3382.22</v>
      </c>
      <c r="D10" s="28">
        <v>4209.29</v>
      </c>
      <c r="E10" s="28">
        <v>4344.37</v>
      </c>
      <c r="F10" s="28">
        <v>3523.57</v>
      </c>
    </row>
    <row r="11" spans="1:6" x14ac:dyDescent="0.25">
      <c r="A11" s="15" t="s">
        <v>18</v>
      </c>
      <c r="B11" s="17">
        <v>0</v>
      </c>
      <c r="C11" s="17">
        <v>0</v>
      </c>
      <c r="D11" s="17">
        <v>19.93</v>
      </c>
      <c r="E11" s="17">
        <v>34.409999999999997</v>
      </c>
      <c r="F11" s="17">
        <v>0</v>
      </c>
    </row>
    <row r="12" spans="1:6" x14ac:dyDescent="0.25">
      <c r="A12" s="18" t="s">
        <v>19</v>
      </c>
      <c r="B12" s="28">
        <v>2696.42</v>
      </c>
      <c r="C12" s="28">
        <v>3406.23</v>
      </c>
      <c r="D12" s="28">
        <v>4253.25</v>
      </c>
      <c r="E12" s="28">
        <v>4402.83</v>
      </c>
      <c r="F12" s="28">
        <v>3547.66</v>
      </c>
    </row>
    <row r="13" spans="1:6" x14ac:dyDescent="0.25">
      <c r="A13" s="15" t="s">
        <v>20</v>
      </c>
      <c r="B13" s="17">
        <v>2.6</v>
      </c>
      <c r="C13" s="17">
        <v>13.14</v>
      </c>
      <c r="D13" s="17">
        <v>32.68</v>
      </c>
      <c r="E13" s="17">
        <v>35.65</v>
      </c>
      <c r="F13" s="17">
        <v>36.340000000000003</v>
      </c>
    </row>
    <row r="14" spans="1:6" x14ac:dyDescent="0.25">
      <c r="A14" s="14" t="s">
        <v>21</v>
      </c>
      <c r="B14" s="12"/>
      <c r="C14" s="12"/>
      <c r="D14" s="12"/>
      <c r="E14" s="12"/>
      <c r="F14" s="12"/>
    </row>
    <row r="15" spans="1:6" x14ac:dyDescent="0.25">
      <c r="A15" s="15" t="s">
        <v>22</v>
      </c>
      <c r="B15" s="17">
        <v>31.4</v>
      </c>
      <c r="C15" s="17">
        <v>84.57</v>
      </c>
      <c r="D15" s="17">
        <v>61.92</v>
      </c>
      <c r="E15" s="17">
        <v>766.06</v>
      </c>
      <c r="F15" s="17">
        <v>747.75</v>
      </c>
    </row>
    <row r="16" spans="1:6" x14ac:dyDescent="0.25">
      <c r="A16" s="15" t="s">
        <v>23</v>
      </c>
      <c r="B16" s="17">
        <v>0</v>
      </c>
      <c r="C16" s="17">
        <v>0</v>
      </c>
      <c r="D16" s="17">
        <v>3.87</v>
      </c>
      <c r="E16" s="17">
        <v>12.69</v>
      </c>
      <c r="F16" s="17">
        <v>8.69</v>
      </c>
    </row>
    <row r="17" spans="1:6" x14ac:dyDescent="0.25">
      <c r="A17" s="15" t="s">
        <v>24</v>
      </c>
      <c r="B17" s="17">
        <v>25.36</v>
      </c>
      <c r="C17" s="17">
        <v>27.14</v>
      </c>
      <c r="D17" s="17">
        <v>27.24</v>
      </c>
      <c r="E17" s="17">
        <v>46.54</v>
      </c>
      <c r="F17" s="17">
        <v>54.07</v>
      </c>
    </row>
    <row r="18" spans="1:6" x14ac:dyDescent="0.25">
      <c r="A18" s="15" t="s">
        <v>25</v>
      </c>
      <c r="B18" s="17">
        <v>7.62</v>
      </c>
      <c r="C18" s="17">
        <v>8.8699999999999992</v>
      </c>
      <c r="D18" s="17">
        <v>11.45</v>
      </c>
      <c r="E18" s="17">
        <v>13.16</v>
      </c>
      <c r="F18" s="17">
        <v>0</v>
      </c>
    </row>
    <row r="19" spans="1:6" x14ac:dyDescent="0.25">
      <c r="A19" s="18" t="s">
        <v>26</v>
      </c>
      <c r="B19" s="27">
        <v>64.38</v>
      </c>
      <c r="C19" s="27">
        <v>120.58</v>
      </c>
      <c r="D19" s="27">
        <v>104.48</v>
      </c>
      <c r="E19" s="27">
        <v>838.45</v>
      </c>
      <c r="F19" s="27">
        <v>810.51</v>
      </c>
    </row>
    <row r="20" spans="1:6" x14ac:dyDescent="0.25">
      <c r="A20" s="14" t="s">
        <v>27</v>
      </c>
      <c r="B20" s="12"/>
      <c r="C20" s="12"/>
      <c r="D20" s="12"/>
      <c r="E20" s="12"/>
      <c r="F20" s="12"/>
    </row>
    <row r="21" spans="1:6" x14ac:dyDescent="0.25">
      <c r="A21" s="15" t="s">
        <v>28</v>
      </c>
      <c r="B21" s="17">
        <v>84.31</v>
      </c>
      <c r="C21" s="17">
        <v>93.65</v>
      </c>
      <c r="D21" s="17">
        <v>76.099999999999994</v>
      </c>
      <c r="E21" s="17">
        <v>747.99</v>
      </c>
      <c r="F21" s="19">
        <v>1339.42</v>
      </c>
    </row>
    <row r="22" spans="1:6" x14ac:dyDescent="0.25">
      <c r="A22" s="15" t="s">
        <v>29</v>
      </c>
      <c r="B22" s="17">
        <v>757.31</v>
      </c>
      <c r="C22" s="17">
        <v>994.09</v>
      </c>
      <c r="D22" s="19">
        <v>1140.51</v>
      </c>
      <c r="E22" s="19">
        <v>1116.28</v>
      </c>
      <c r="F22" s="19">
        <v>1314.75</v>
      </c>
    </row>
    <row r="23" spans="1:6" x14ac:dyDescent="0.25">
      <c r="A23" s="15" t="s">
        <v>30</v>
      </c>
      <c r="B23" s="17">
        <v>321.32</v>
      </c>
      <c r="C23" s="17">
        <v>381.26</v>
      </c>
      <c r="D23" s="17">
        <v>438.29</v>
      </c>
      <c r="E23" s="17">
        <v>509.77</v>
      </c>
      <c r="F23" s="17">
        <v>572.63</v>
      </c>
    </row>
    <row r="24" spans="1:6" x14ac:dyDescent="0.25">
      <c r="A24" s="15" t="s">
        <v>31</v>
      </c>
      <c r="B24" s="17">
        <v>182.46</v>
      </c>
      <c r="C24" s="17">
        <v>178.97</v>
      </c>
      <c r="D24" s="17">
        <v>196.51</v>
      </c>
      <c r="E24" s="17">
        <v>191.26</v>
      </c>
      <c r="F24" s="17">
        <v>387.47</v>
      </c>
    </row>
    <row r="25" spans="1:6" x14ac:dyDescent="0.25">
      <c r="A25" s="18" t="s">
        <v>32</v>
      </c>
      <c r="B25" s="28">
        <v>1345.4</v>
      </c>
      <c r="C25" s="28">
        <v>1647.97</v>
      </c>
      <c r="D25" s="28">
        <v>1851.41</v>
      </c>
      <c r="E25" s="28">
        <v>2565.3000000000002</v>
      </c>
      <c r="F25" s="28">
        <v>3614.27</v>
      </c>
    </row>
    <row r="26" spans="1:6" x14ac:dyDescent="0.25">
      <c r="A26" s="18" t="s">
        <v>33</v>
      </c>
      <c r="B26" s="28">
        <v>4108.8</v>
      </c>
      <c r="C26" s="28">
        <v>5187.92</v>
      </c>
      <c r="D26" s="28">
        <v>6241.82</v>
      </c>
      <c r="E26" s="28">
        <v>7842.23</v>
      </c>
      <c r="F26" s="28">
        <v>8008.78</v>
      </c>
    </row>
    <row r="27" spans="1:6" x14ac:dyDescent="0.25">
      <c r="A27" s="16" t="s">
        <v>34</v>
      </c>
      <c r="B27" s="12"/>
      <c r="C27" s="12"/>
      <c r="D27" s="12"/>
      <c r="E27" s="12"/>
      <c r="F27" s="12"/>
    </row>
    <row r="28" spans="1:6" x14ac:dyDescent="0.25">
      <c r="A28" s="14" t="s">
        <v>35</v>
      </c>
      <c r="B28" s="12"/>
      <c r="C28" s="12"/>
      <c r="D28" s="12"/>
      <c r="E28" s="12"/>
      <c r="F28" s="12"/>
    </row>
    <row r="29" spans="1:6" x14ac:dyDescent="0.25">
      <c r="A29" s="15" t="s">
        <v>36</v>
      </c>
      <c r="B29" s="19">
        <v>1020.54</v>
      </c>
      <c r="C29" s="19">
        <v>1209.43</v>
      </c>
      <c r="D29" s="19">
        <v>1550.31</v>
      </c>
      <c r="E29" s="19">
        <v>1730.84</v>
      </c>
      <c r="F29" s="19">
        <v>1773.57</v>
      </c>
    </row>
    <row r="30" spans="1:6" x14ac:dyDescent="0.25">
      <c r="A30" s="15" t="s">
        <v>37</v>
      </c>
      <c r="B30" s="17">
        <v>11.61</v>
      </c>
      <c r="C30" s="17">
        <v>7.97</v>
      </c>
      <c r="D30" s="17">
        <v>7.62</v>
      </c>
      <c r="E30" s="17">
        <v>8.3699999999999992</v>
      </c>
      <c r="F30" s="17">
        <v>0</v>
      </c>
    </row>
    <row r="31" spans="1:6" x14ac:dyDescent="0.25">
      <c r="A31" s="15" t="s">
        <v>38</v>
      </c>
      <c r="B31" s="17">
        <v>30.07</v>
      </c>
      <c r="C31" s="17">
        <v>202.82</v>
      </c>
      <c r="D31" s="17">
        <v>101.24</v>
      </c>
      <c r="E31" s="17">
        <v>39.549999999999997</v>
      </c>
      <c r="F31" s="17">
        <v>0</v>
      </c>
    </row>
    <row r="32" spans="1:6" x14ac:dyDescent="0.25">
      <c r="A32" s="18" t="s">
        <v>39</v>
      </c>
      <c r="B32" s="28">
        <v>1062.22</v>
      </c>
      <c r="C32" s="28">
        <v>1420.22</v>
      </c>
      <c r="D32" s="28">
        <v>1659.17</v>
      </c>
      <c r="E32" s="28">
        <v>1778.76</v>
      </c>
      <c r="F32" s="28">
        <v>1773.57</v>
      </c>
    </row>
    <row r="33" spans="1:6" x14ac:dyDescent="0.25">
      <c r="A33" s="15" t="s">
        <v>40</v>
      </c>
      <c r="B33" s="17">
        <v>312</v>
      </c>
      <c r="C33" s="17">
        <v>222.48</v>
      </c>
      <c r="D33" s="17">
        <v>726.4</v>
      </c>
      <c r="E33" s="19">
        <v>1884.46</v>
      </c>
      <c r="F33" s="19">
        <v>1387.44</v>
      </c>
    </row>
    <row r="34" spans="1:6" x14ac:dyDescent="0.25">
      <c r="A34" s="15" t="s">
        <v>41</v>
      </c>
      <c r="B34" s="17">
        <v>23.11</v>
      </c>
      <c r="C34" s="17">
        <v>22.57</v>
      </c>
      <c r="D34" s="17">
        <v>13.75</v>
      </c>
      <c r="E34" s="17">
        <v>19.559999999999999</v>
      </c>
      <c r="F34" s="17">
        <v>9.66</v>
      </c>
    </row>
    <row r="35" spans="1:6" x14ac:dyDescent="0.25">
      <c r="A35" s="15" t="s">
        <v>42</v>
      </c>
      <c r="B35" s="17">
        <v>45.92</v>
      </c>
      <c r="C35" s="17">
        <v>134.24</v>
      </c>
      <c r="D35" s="17">
        <v>19.02</v>
      </c>
      <c r="E35" s="17">
        <v>202.95</v>
      </c>
      <c r="F35" s="17">
        <v>74.58</v>
      </c>
    </row>
    <row r="36" spans="1:6" x14ac:dyDescent="0.25">
      <c r="A36" s="15" t="s">
        <v>43</v>
      </c>
      <c r="B36" s="17">
        <v>198.47</v>
      </c>
      <c r="C36" s="17">
        <v>108.93</v>
      </c>
      <c r="D36" s="17">
        <v>166.77</v>
      </c>
      <c r="E36" s="17">
        <v>142.56</v>
      </c>
      <c r="F36" s="17">
        <v>207.95</v>
      </c>
    </row>
    <row r="37" spans="1:6" x14ac:dyDescent="0.25">
      <c r="A37" s="18" t="s">
        <v>44</v>
      </c>
      <c r="B37" s="28">
        <v>1769.56</v>
      </c>
      <c r="C37" s="28">
        <v>2036.64</v>
      </c>
      <c r="D37" s="28">
        <v>2715.48</v>
      </c>
      <c r="E37" s="28">
        <v>4167.26</v>
      </c>
      <c r="F37" s="28">
        <v>3589.1</v>
      </c>
    </row>
    <row r="38" spans="1:6" x14ac:dyDescent="0.25">
      <c r="A38" s="14" t="s">
        <v>45</v>
      </c>
      <c r="B38" s="12"/>
      <c r="C38" s="12"/>
      <c r="D38" s="12"/>
      <c r="E38" s="12"/>
      <c r="F38" s="12"/>
    </row>
    <row r="39" spans="1:6" x14ac:dyDescent="0.25">
      <c r="A39" s="15" t="s">
        <v>46</v>
      </c>
      <c r="B39" s="17">
        <v>174.85</v>
      </c>
      <c r="C39" s="17">
        <v>856.8</v>
      </c>
      <c r="D39" s="17">
        <v>749.88</v>
      </c>
      <c r="E39" s="19">
        <v>1008.77</v>
      </c>
      <c r="F39" s="19">
        <v>1393.25</v>
      </c>
    </row>
    <row r="40" spans="1:6" x14ac:dyDescent="0.25">
      <c r="A40" s="15" t="s">
        <v>47</v>
      </c>
      <c r="B40" s="17">
        <v>661.45</v>
      </c>
      <c r="C40" s="17">
        <v>652.79</v>
      </c>
      <c r="D40" s="17">
        <v>781.38</v>
      </c>
      <c r="E40" s="17">
        <v>740.96</v>
      </c>
      <c r="F40" s="19">
        <v>1091.49</v>
      </c>
    </row>
    <row r="41" spans="1:6" x14ac:dyDescent="0.25">
      <c r="A41" s="15" t="s">
        <v>48</v>
      </c>
      <c r="B41" s="17">
        <v>179.16</v>
      </c>
      <c r="C41" s="17">
        <v>304.60000000000002</v>
      </c>
      <c r="D41" s="17">
        <v>394.24</v>
      </c>
      <c r="E41" s="17">
        <v>320.36</v>
      </c>
      <c r="F41" s="17">
        <v>257.27</v>
      </c>
    </row>
    <row r="42" spans="1:6" x14ac:dyDescent="0.25">
      <c r="A42" s="15" t="s">
        <v>49</v>
      </c>
      <c r="B42" s="17">
        <v>120.76</v>
      </c>
      <c r="C42" s="17">
        <v>186.42</v>
      </c>
      <c r="D42" s="17">
        <v>109.82</v>
      </c>
      <c r="E42" s="17">
        <v>122.85</v>
      </c>
      <c r="F42" s="17">
        <v>211.34</v>
      </c>
    </row>
    <row r="43" spans="1:6" x14ac:dyDescent="0.25">
      <c r="A43" s="15" t="s">
        <v>50</v>
      </c>
      <c r="B43" s="17">
        <v>829.1</v>
      </c>
      <c r="C43" s="17">
        <v>844.34</v>
      </c>
      <c r="D43" s="19">
        <v>1203.92</v>
      </c>
      <c r="E43" s="19">
        <v>1110.1099999999999</v>
      </c>
      <c r="F43" s="17">
        <v>946.56</v>
      </c>
    </row>
    <row r="44" spans="1:6" x14ac:dyDescent="0.25">
      <c r="A44" s="15" t="s">
        <v>51</v>
      </c>
      <c r="B44" s="17">
        <v>373.92</v>
      </c>
      <c r="C44" s="17">
        <v>306.33</v>
      </c>
      <c r="D44" s="17">
        <v>287.10000000000002</v>
      </c>
      <c r="E44" s="17">
        <v>371.92</v>
      </c>
      <c r="F44" s="17">
        <v>519.77</v>
      </c>
    </row>
    <row r="45" spans="1:6" x14ac:dyDescent="0.25">
      <c r="A45" s="18" t="s">
        <v>52</v>
      </c>
      <c r="B45" s="28">
        <v>2339.2399999999998</v>
      </c>
      <c r="C45" s="28">
        <v>3151.28</v>
      </c>
      <c r="D45" s="28">
        <v>3526.34</v>
      </c>
      <c r="E45" s="28">
        <v>3674.97</v>
      </c>
      <c r="F45" s="28">
        <v>4419.68</v>
      </c>
    </row>
    <row r="46" spans="1:6" x14ac:dyDescent="0.25">
      <c r="A46" s="18" t="s">
        <v>53</v>
      </c>
      <c r="B46" s="28">
        <v>4108.8</v>
      </c>
      <c r="C46" s="28">
        <v>5187.92</v>
      </c>
      <c r="D46" s="28">
        <v>6241.82</v>
      </c>
      <c r="E46" s="28">
        <v>7842.23</v>
      </c>
      <c r="F46" s="28">
        <v>8008.78</v>
      </c>
    </row>
    <row r="47" spans="1:6" x14ac:dyDescent="0.25">
      <c r="A47" s="13" t="s">
        <v>54</v>
      </c>
      <c r="B47" s="12"/>
      <c r="C47" s="12"/>
      <c r="D47" s="12"/>
      <c r="E47" s="12"/>
      <c r="F47" s="12"/>
    </row>
    <row r="48" spans="1:6" x14ac:dyDescent="0.25">
      <c r="A48" s="14" t="s">
        <v>55</v>
      </c>
      <c r="B48" s="12"/>
      <c r="C48" s="12"/>
      <c r="D48" s="12"/>
      <c r="E48" s="12"/>
      <c r="F48" s="12"/>
    </row>
    <row r="49" spans="1:6" x14ac:dyDescent="0.25">
      <c r="A49" s="15" t="s">
        <v>56</v>
      </c>
      <c r="B49" s="17">
        <v>303.83999999999997</v>
      </c>
      <c r="C49" s="17">
        <v>242.47</v>
      </c>
      <c r="D49" s="17">
        <v>287.83999999999997</v>
      </c>
      <c r="E49" s="17">
        <v>277.64999999999998</v>
      </c>
      <c r="F49" s="17">
        <v>0</v>
      </c>
    </row>
    <row r="50" spans="1:6" x14ac:dyDescent="0.25">
      <c r="A50" s="14" t="s">
        <v>57</v>
      </c>
      <c r="B50" s="12"/>
      <c r="C50" s="12"/>
      <c r="D50" s="12"/>
      <c r="E50" s="12"/>
      <c r="F50" s="12"/>
    </row>
    <row r="51" spans="1:6" x14ac:dyDescent="0.25">
      <c r="A51" s="15" t="s">
        <v>58</v>
      </c>
      <c r="B51" s="17">
        <v>21.94</v>
      </c>
      <c r="C51" s="17">
        <v>21.94</v>
      </c>
      <c r="D51" s="17">
        <v>21.94</v>
      </c>
      <c r="E51" s="17">
        <v>21.94</v>
      </c>
      <c r="F51" s="17">
        <v>0</v>
      </c>
    </row>
    <row r="52" spans="1:6" x14ac:dyDescent="0.25">
      <c r="A52" s="14" t="s">
        <v>59</v>
      </c>
      <c r="B52" s="12"/>
      <c r="C52" s="12"/>
      <c r="D52" s="12"/>
      <c r="E52" s="12"/>
      <c r="F52" s="12"/>
    </row>
    <row r="53" spans="1:6" x14ac:dyDescent="0.25">
      <c r="A53" s="15" t="s">
        <v>96</v>
      </c>
      <c r="B53" s="17">
        <v>309.81</v>
      </c>
      <c r="C53" s="17">
        <v>220.47</v>
      </c>
      <c r="D53" s="17">
        <v>725.36</v>
      </c>
      <c r="E53" s="19">
        <v>1882.98</v>
      </c>
      <c r="F53" s="17">
        <v>0</v>
      </c>
    </row>
    <row r="54" spans="1:6" x14ac:dyDescent="0.25">
      <c r="A54" s="14" t="s">
        <v>60</v>
      </c>
      <c r="B54" s="12"/>
      <c r="C54" s="12"/>
      <c r="D54" s="12"/>
      <c r="E54" s="12"/>
      <c r="F54" s="12"/>
    </row>
    <row r="55" spans="1:6" x14ac:dyDescent="0.25">
      <c r="A55" s="15" t="s">
        <v>97</v>
      </c>
      <c r="B55" s="17">
        <v>174.85</v>
      </c>
      <c r="C55" s="17">
        <v>856.8</v>
      </c>
      <c r="D55" s="17">
        <v>749.88</v>
      </c>
      <c r="E55" s="19">
        <v>1008.77</v>
      </c>
      <c r="F55" s="17">
        <v>0</v>
      </c>
    </row>
    <row r="56" spans="1:6" x14ac:dyDescent="0.25">
      <c r="A56" s="2"/>
    </row>
    <row r="57" spans="1:6" x14ac:dyDescent="0.25">
      <c r="A57" s="4"/>
    </row>
    <row r="59" spans="1:6" x14ac:dyDescent="0.25">
      <c r="A59" s="1"/>
      <c r="F5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C7F5-EDDA-41BD-8E49-DD15A08E22D8}">
  <dimension ref="A1:F49"/>
  <sheetViews>
    <sheetView zoomScaleNormal="100" workbookViewId="0">
      <pane ySplit="3" topLeftCell="A22" activePane="bottomLeft" state="frozen"/>
      <selection pane="bottomLeft" activeCell="B42" sqref="B42"/>
    </sheetView>
  </sheetViews>
  <sheetFormatPr defaultRowHeight="12.5" x14ac:dyDescent="0.25"/>
  <cols>
    <col min="1" max="1" width="49.81640625" bestFit="1" customWidth="1"/>
    <col min="4" max="4" width="10.26953125" customWidth="1"/>
    <col min="5" max="5" width="10.453125" customWidth="1"/>
    <col min="6" max="6" width="11.6328125" customWidth="1"/>
  </cols>
  <sheetData>
    <row r="1" spans="1:6" ht="15.5" x14ac:dyDescent="0.35">
      <c r="A1" s="9" t="s">
        <v>0</v>
      </c>
      <c r="C1" s="6"/>
    </row>
    <row r="2" spans="1:6" x14ac:dyDescent="0.25">
      <c r="A2" s="7" t="s">
        <v>61</v>
      </c>
    </row>
    <row r="3" spans="1:6" x14ac:dyDescent="0.25">
      <c r="A3" s="26"/>
      <c r="B3" s="20" t="s">
        <v>6</v>
      </c>
      <c r="C3" s="20" t="s">
        <v>5</v>
      </c>
      <c r="D3" s="20" t="s">
        <v>4</v>
      </c>
      <c r="E3" s="20" t="s">
        <v>3</v>
      </c>
      <c r="F3" s="20" t="s">
        <v>2</v>
      </c>
    </row>
    <row r="4" spans="1:6" x14ac:dyDescent="0.25">
      <c r="A4" s="12"/>
      <c r="B4" s="21" t="s">
        <v>7</v>
      </c>
      <c r="C4" s="21" t="s">
        <v>7</v>
      </c>
      <c r="D4" s="21" t="s">
        <v>7</v>
      </c>
      <c r="E4" s="21" t="s">
        <v>7</v>
      </c>
      <c r="F4" s="21" t="s">
        <v>7</v>
      </c>
    </row>
    <row r="5" spans="1:6" x14ac:dyDescent="0.25">
      <c r="A5" s="20" t="s">
        <v>62</v>
      </c>
      <c r="B5" s="12"/>
      <c r="C5" s="12"/>
      <c r="D5" s="12"/>
      <c r="E5" s="12"/>
      <c r="F5" s="12"/>
    </row>
    <row r="6" spans="1:6" x14ac:dyDescent="0.25">
      <c r="A6" s="22" t="s">
        <v>63</v>
      </c>
      <c r="B6" s="24">
        <v>9232.2999999999993</v>
      </c>
      <c r="C6" s="24">
        <v>9905.6299999999992</v>
      </c>
      <c r="D6" s="24">
        <v>10973.46</v>
      </c>
      <c r="E6" s="24">
        <v>11443.99</v>
      </c>
      <c r="F6" s="24">
        <v>12883.04</v>
      </c>
    </row>
    <row r="7" spans="1:6" x14ac:dyDescent="0.25">
      <c r="A7" s="21" t="s">
        <v>64</v>
      </c>
      <c r="B7" s="17">
        <v>270.02</v>
      </c>
      <c r="C7" s="17">
        <v>76.11</v>
      </c>
      <c r="D7" s="17">
        <v>0</v>
      </c>
      <c r="E7" s="17">
        <v>0</v>
      </c>
      <c r="F7" s="17">
        <v>0</v>
      </c>
    </row>
    <row r="8" spans="1:6" x14ac:dyDescent="0.25">
      <c r="A8" s="22" t="s">
        <v>65</v>
      </c>
      <c r="B8" s="24">
        <v>8962.2800000000007</v>
      </c>
      <c r="C8" s="24">
        <v>9829.52</v>
      </c>
      <c r="D8" s="24">
        <v>10973.46</v>
      </c>
      <c r="E8" s="24">
        <v>11443.99</v>
      </c>
      <c r="F8" s="24">
        <v>12883.04</v>
      </c>
    </row>
    <row r="9" spans="1:6" x14ac:dyDescent="0.25">
      <c r="A9" s="21" t="s">
        <v>66</v>
      </c>
      <c r="B9" s="17">
        <v>91.81</v>
      </c>
      <c r="C9" s="17">
        <v>84.47</v>
      </c>
      <c r="D9" s="17">
        <v>81.209999999999994</v>
      </c>
      <c r="E9" s="17">
        <v>155.56</v>
      </c>
      <c r="F9" s="17">
        <v>253.1</v>
      </c>
    </row>
    <row r="10" spans="1:6" x14ac:dyDescent="0.25">
      <c r="A10" s="22" t="s">
        <v>67</v>
      </c>
      <c r="B10" s="24">
        <v>9054.09</v>
      </c>
      <c r="C10" s="24">
        <v>9913.99</v>
      </c>
      <c r="D10" s="24">
        <v>11054.67</v>
      </c>
      <c r="E10" s="24">
        <v>11599.55</v>
      </c>
      <c r="F10" s="24">
        <v>13136.14</v>
      </c>
    </row>
    <row r="11" spans="1:6" x14ac:dyDescent="0.25">
      <c r="A11" s="21" t="s">
        <v>68</v>
      </c>
      <c r="B11" s="17">
        <v>150.54</v>
      </c>
      <c r="C11" s="17">
        <v>166.37</v>
      </c>
      <c r="D11" s="17">
        <v>206.45</v>
      </c>
      <c r="E11" s="17">
        <v>279.39999999999998</v>
      </c>
      <c r="F11" s="17">
        <v>312.93</v>
      </c>
    </row>
    <row r="12" spans="1:6" x14ac:dyDescent="0.25">
      <c r="A12" s="22" t="s">
        <v>69</v>
      </c>
      <c r="B12" s="24">
        <v>9204.6299999999992</v>
      </c>
      <c r="C12" s="24">
        <v>10080.36</v>
      </c>
      <c r="D12" s="24">
        <v>11261.12</v>
      </c>
      <c r="E12" s="24">
        <v>11878.95</v>
      </c>
      <c r="F12" s="24">
        <v>13449.07</v>
      </c>
    </row>
    <row r="13" spans="1:6" x14ac:dyDescent="0.25">
      <c r="A13" s="20" t="s">
        <v>70</v>
      </c>
      <c r="B13" s="12"/>
      <c r="C13" s="12"/>
      <c r="D13" s="12"/>
      <c r="E13" s="12"/>
      <c r="F13" s="12"/>
    </row>
    <row r="14" spans="1:6" x14ac:dyDescent="0.25">
      <c r="A14" s="21" t="s">
        <v>71</v>
      </c>
      <c r="B14" s="19">
        <v>4839.57</v>
      </c>
      <c r="C14" s="19">
        <v>4906.08</v>
      </c>
      <c r="D14" s="19">
        <v>5513.01</v>
      </c>
      <c r="E14" s="19">
        <v>5901.16</v>
      </c>
      <c r="F14" s="19">
        <v>6665.91</v>
      </c>
    </row>
    <row r="15" spans="1:6" x14ac:dyDescent="0.25">
      <c r="A15" s="21" t="s">
        <v>72</v>
      </c>
      <c r="B15" s="17">
        <v>803.31</v>
      </c>
      <c r="C15" s="19">
        <v>1194.72</v>
      </c>
      <c r="D15" s="19">
        <v>1103.6300000000001</v>
      </c>
      <c r="E15" s="17">
        <v>973.74</v>
      </c>
      <c r="F15" s="17">
        <v>997.31</v>
      </c>
    </row>
    <row r="16" spans="1:6" x14ac:dyDescent="0.25">
      <c r="A16" s="21" t="s">
        <v>108</v>
      </c>
      <c r="B16" s="17">
        <v>-54.2</v>
      </c>
      <c r="C16" s="17">
        <v>6.3</v>
      </c>
      <c r="D16" s="17">
        <v>-55.18</v>
      </c>
      <c r="E16" s="17">
        <v>52.57</v>
      </c>
      <c r="F16" s="17">
        <v>-37.119999999999997</v>
      </c>
    </row>
    <row r="17" spans="1:6" x14ac:dyDescent="0.25">
      <c r="A17" s="21" t="s">
        <v>73</v>
      </c>
      <c r="B17" s="17">
        <v>352.61</v>
      </c>
      <c r="C17" s="17">
        <v>401.6</v>
      </c>
      <c r="D17" s="17">
        <v>441.82</v>
      </c>
      <c r="E17" s="17">
        <v>486.69</v>
      </c>
      <c r="F17" s="17">
        <v>527.38</v>
      </c>
    </row>
    <row r="18" spans="1:6" x14ac:dyDescent="0.25">
      <c r="A18" s="21" t="s">
        <v>74</v>
      </c>
      <c r="B18" s="17">
        <v>5.45</v>
      </c>
      <c r="C18" s="17">
        <v>7.59</v>
      </c>
      <c r="D18" s="17">
        <v>9.09</v>
      </c>
      <c r="E18" s="17">
        <v>76.900000000000006</v>
      </c>
      <c r="F18" s="17">
        <v>110.9</v>
      </c>
    </row>
    <row r="19" spans="1:6" x14ac:dyDescent="0.25">
      <c r="A19" s="21" t="s">
        <v>75</v>
      </c>
      <c r="B19" s="17">
        <v>119.27</v>
      </c>
      <c r="C19" s="17">
        <v>142.07</v>
      </c>
      <c r="D19" s="17">
        <v>161.88</v>
      </c>
      <c r="E19" s="17">
        <v>184.81</v>
      </c>
      <c r="F19" s="17">
        <v>197.85</v>
      </c>
    </row>
    <row r="20" spans="1:6" x14ac:dyDescent="0.25">
      <c r="A20" s="21" t="s">
        <v>76</v>
      </c>
      <c r="B20" s="19">
        <v>1834.62</v>
      </c>
      <c r="C20" s="19">
        <v>1903.64</v>
      </c>
      <c r="D20" s="19">
        <v>2317.9699999999998</v>
      </c>
      <c r="E20" s="19">
        <v>2342.21</v>
      </c>
      <c r="F20" s="19">
        <v>2473.4299999999998</v>
      </c>
    </row>
    <row r="21" spans="1:6" x14ac:dyDescent="0.25">
      <c r="A21" s="22" t="s">
        <v>77</v>
      </c>
      <c r="B21" s="24">
        <v>7900.63</v>
      </c>
      <c r="C21" s="24">
        <v>8562</v>
      </c>
      <c r="D21" s="24">
        <v>9492.2199999999993</v>
      </c>
      <c r="E21" s="24">
        <v>10018.08</v>
      </c>
      <c r="F21" s="24">
        <v>10935.66</v>
      </c>
    </row>
    <row r="22" spans="1:6" x14ac:dyDescent="0.25">
      <c r="A22" s="22" t="s">
        <v>109</v>
      </c>
      <c r="B22" s="24">
        <v>1304</v>
      </c>
      <c r="C22" s="24">
        <v>1518.36</v>
      </c>
      <c r="D22" s="24">
        <v>1768.9</v>
      </c>
      <c r="E22" s="24">
        <v>1860.87</v>
      </c>
      <c r="F22" s="24">
        <v>2513.41</v>
      </c>
    </row>
    <row r="23" spans="1:6" x14ac:dyDescent="0.25">
      <c r="A23" s="21" t="s">
        <v>78</v>
      </c>
      <c r="B23" s="17">
        <v>0</v>
      </c>
      <c r="C23" s="17">
        <v>0</v>
      </c>
      <c r="D23" s="17">
        <v>0</v>
      </c>
      <c r="E23" s="17">
        <v>-17.010000000000002</v>
      </c>
      <c r="F23" s="17">
        <v>-0.61</v>
      </c>
    </row>
    <row r="24" spans="1:6" x14ac:dyDescent="0.25">
      <c r="A24" s="22" t="s">
        <v>79</v>
      </c>
      <c r="B24" s="24">
        <v>1304</v>
      </c>
      <c r="C24" s="24">
        <v>1518.36</v>
      </c>
      <c r="D24" s="24">
        <v>1768.9</v>
      </c>
      <c r="E24" s="24">
        <v>1843.86</v>
      </c>
      <c r="F24" s="24">
        <v>2512.8000000000002</v>
      </c>
    </row>
    <row r="25" spans="1:6" x14ac:dyDescent="0.25">
      <c r="A25" s="23" t="s">
        <v>80</v>
      </c>
      <c r="B25" s="12"/>
      <c r="C25" s="12"/>
      <c r="D25" s="12"/>
      <c r="E25" s="12"/>
      <c r="F25" s="12"/>
    </row>
    <row r="26" spans="1:6" x14ac:dyDescent="0.25">
      <c r="A26" s="21" t="s">
        <v>81</v>
      </c>
      <c r="B26" s="17">
        <v>401.87</v>
      </c>
      <c r="C26" s="17">
        <v>513.67999999999995</v>
      </c>
      <c r="D26" s="17">
        <v>599.78</v>
      </c>
      <c r="E26" s="17">
        <v>447.69</v>
      </c>
      <c r="F26" s="17">
        <v>663.02</v>
      </c>
    </row>
    <row r="27" spans="1:6" x14ac:dyDescent="0.25">
      <c r="A27" s="21" t="s">
        <v>82</v>
      </c>
      <c r="B27" s="17">
        <v>17.8</v>
      </c>
      <c r="C27" s="17">
        <v>0.54</v>
      </c>
      <c r="D27" s="17">
        <v>12.69</v>
      </c>
      <c r="E27" s="17">
        <v>3.01</v>
      </c>
      <c r="F27" s="17">
        <v>0</v>
      </c>
    </row>
    <row r="28" spans="1:6" x14ac:dyDescent="0.25">
      <c r="A28" s="22" t="s">
        <v>83</v>
      </c>
      <c r="B28" s="25">
        <v>419.67</v>
      </c>
      <c r="C28" s="25">
        <v>514.22</v>
      </c>
      <c r="D28" s="25">
        <v>612.47</v>
      </c>
      <c r="E28" s="25">
        <v>450.7</v>
      </c>
      <c r="F28" s="25">
        <v>663.02</v>
      </c>
    </row>
    <row r="29" spans="1:6" x14ac:dyDescent="0.25">
      <c r="A29" s="22" t="s">
        <v>84</v>
      </c>
      <c r="B29" s="25">
        <v>884.33</v>
      </c>
      <c r="C29" s="24">
        <v>1004.14</v>
      </c>
      <c r="D29" s="24">
        <v>1156.43</v>
      </c>
      <c r="E29" s="24">
        <v>1393.16</v>
      </c>
      <c r="F29" s="24">
        <v>1849.78</v>
      </c>
    </row>
    <row r="30" spans="1:6" x14ac:dyDescent="0.25">
      <c r="A30" s="23" t="s">
        <v>85</v>
      </c>
      <c r="B30" s="12"/>
      <c r="C30" s="12"/>
      <c r="D30" s="12"/>
      <c r="E30" s="12"/>
      <c r="F30" s="12"/>
    </row>
    <row r="31" spans="1:6" x14ac:dyDescent="0.25">
      <c r="A31" s="22" t="s">
        <v>116</v>
      </c>
      <c r="B31" s="25">
        <v>884.33</v>
      </c>
      <c r="C31" s="24">
        <v>1004.14</v>
      </c>
      <c r="D31" s="24">
        <v>1156.43</v>
      </c>
      <c r="E31" s="24">
        <v>1393.16</v>
      </c>
      <c r="F31" s="24">
        <v>1849.78</v>
      </c>
    </row>
    <row r="32" spans="1:6" x14ac:dyDescent="0.25">
      <c r="A32" s="22" t="s">
        <v>86</v>
      </c>
      <c r="B32" s="25">
        <v>884.33</v>
      </c>
      <c r="C32" s="24">
        <v>1004.14</v>
      </c>
      <c r="D32" s="24">
        <v>1156.43</v>
      </c>
      <c r="E32" s="24">
        <v>1393.16</v>
      </c>
      <c r="F32" s="24">
        <v>1849.78</v>
      </c>
    </row>
    <row r="33" spans="1:6" x14ac:dyDescent="0.25">
      <c r="A33" s="21" t="s">
        <v>20</v>
      </c>
      <c r="B33" s="17">
        <v>-0.14000000000000001</v>
      </c>
      <c r="C33" s="17">
        <v>0.27</v>
      </c>
      <c r="D33" s="17">
        <v>3.66</v>
      </c>
      <c r="E33" s="17">
        <v>9.0299999999999994</v>
      </c>
      <c r="F33" s="17">
        <v>13.31</v>
      </c>
    </row>
    <row r="34" spans="1:6" x14ac:dyDescent="0.25">
      <c r="A34" s="21" t="s">
        <v>87</v>
      </c>
      <c r="B34" s="17">
        <v>0.28000000000000003</v>
      </c>
      <c r="C34" s="17">
        <v>-0.18</v>
      </c>
      <c r="D34" s="17">
        <v>-0.97</v>
      </c>
      <c r="E34" s="17">
        <v>0.44</v>
      </c>
      <c r="F34" s="17">
        <v>0.81</v>
      </c>
    </row>
    <row r="35" spans="1:6" x14ac:dyDescent="0.25">
      <c r="A35" s="22" t="s">
        <v>88</v>
      </c>
      <c r="B35" s="25">
        <v>884.47</v>
      </c>
      <c r="C35" s="24">
        <v>1004.23</v>
      </c>
      <c r="D35" s="24">
        <v>1159.1199999999999</v>
      </c>
      <c r="E35" s="24">
        <v>1402.63</v>
      </c>
      <c r="F35" s="24">
        <v>1863.9</v>
      </c>
    </row>
    <row r="36" spans="1:6" x14ac:dyDescent="0.25">
      <c r="A36" s="23" t="s">
        <v>89</v>
      </c>
      <c r="B36" s="12"/>
      <c r="C36" s="12"/>
      <c r="D36" s="12"/>
      <c r="E36" s="12"/>
      <c r="F36" s="12"/>
    </row>
    <row r="37" spans="1:6" x14ac:dyDescent="0.25">
      <c r="A37" s="23" t="s">
        <v>54</v>
      </c>
      <c r="B37" s="12"/>
      <c r="C37" s="12"/>
      <c r="D37" s="12"/>
      <c r="E37" s="12"/>
      <c r="F37" s="12"/>
    </row>
    <row r="38" spans="1:6" x14ac:dyDescent="0.25">
      <c r="A38" s="23" t="s">
        <v>90</v>
      </c>
      <c r="B38" s="12"/>
      <c r="C38" s="12"/>
      <c r="D38" s="12"/>
      <c r="E38" s="12"/>
      <c r="F38" s="12"/>
    </row>
    <row r="39" spans="1:6" x14ac:dyDescent="0.25">
      <c r="A39" s="21" t="s">
        <v>91</v>
      </c>
      <c r="B39" s="17">
        <v>74</v>
      </c>
      <c r="C39" s="17">
        <v>84</v>
      </c>
      <c r="D39" s="17">
        <v>48</v>
      </c>
      <c r="E39" s="17">
        <v>58</v>
      </c>
      <c r="F39" s="17">
        <v>77</v>
      </c>
    </row>
    <row r="40" spans="1:6" x14ac:dyDescent="0.25">
      <c r="A40" s="21" t="s">
        <v>92</v>
      </c>
      <c r="B40" s="17">
        <v>74</v>
      </c>
      <c r="C40" s="17">
        <v>84</v>
      </c>
      <c r="D40" s="17">
        <v>48</v>
      </c>
      <c r="E40" s="17">
        <v>58</v>
      </c>
      <c r="F40" s="17">
        <v>77</v>
      </c>
    </row>
    <row r="41" spans="1:6" x14ac:dyDescent="0.25">
      <c r="A41" s="23" t="s">
        <v>93</v>
      </c>
      <c r="B41" s="12"/>
      <c r="C41" s="12"/>
      <c r="D41" s="12"/>
      <c r="E41" s="12"/>
      <c r="F41" s="12"/>
    </row>
    <row r="42" spans="1:6" x14ac:dyDescent="0.25">
      <c r="A42" s="21" t="s">
        <v>94</v>
      </c>
      <c r="B42" s="17">
        <v>288.8</v>
      </c>
      <c r="C42" s="17">
        <v>317.91000000000003</v>
      </c>
      <c r="D42" s="17">
        <v>360.45</v>
      </c>
      <c r="E42" s="17">
        <v>360.48</v>
      </c>
      <c r="F42" s="17">
        <v>0</v>
      </c>
    </row>
    <row r="43" spans="1:6" x14ac:dyDescent="0.25">
      <c r="A43" s="21" t="s">
        <v>95</v>
      </c>
      <c r="B43" s="17">
        <v>0</v>
      </c>
      <c r="C43" s="17">
        <v>0</v>
      </c>
      <c r="D43" s="17">
        <v>1.4</v>
      </c>
      <c r="E43" s="17">
        <v>74.09</v>
      </c>
      <c r="F43" s="17">
        <v>0</v>
      </c>
    </row>
    <row r="44" spans="1:6" x14ac:dyDescent="0.25">
      <c r="A44" s="5"/>
    </row>
    <row r="46" spans="1:6" x14ac:dyDescent="0.25">
      <c r="A46" s="5"/>
      <c r="F46" s="5"/>
    </row>
    <row r="47" spans="1:6" x14ac:dyDescent="0.25">
      <c r="A47" s="8"/>
    </row>
    <row r="49" spans="1:6" x14ac:dyDescent="0.25">
      <c r="A49" s="5"/>
      <c r="F49" s="5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74FB-3ED4-4DB4-8A00-179F88F84873}">
  <dimension ref="A1:L24"/>
  <sheetViews>
    <sheetView tabSelected="1" zoomScaleNormal="100" workbookViewId="0">
      <selection activeCell="H20" sqref="H20"/>
    </sheetView>
  </sheetViews>
  <sheetFormatPr defaultRowHeight="12.5" x14ac:dyDescent="0.25"/>
  <cols>
    <col min="1" max="1" width="22.26953125" bestFit="1" customWidth="1"/>
    <col min="2" max="2" width="12.453125" bestFit="1" customWidth="1"/>
    <col min="3" max="3" width="15.6328125" bestFit="1" customWidth="1"/>
    <col min="4" max="4" width="16.1796875" bestFit="1" customWidth="1"/>
    <col min="5" max="5" width="18.1796875" bestFit="1" customWidth="1"/>
    <col min="6" max="6" width="12.08984375" bestFit="1" customWidth="1"/>
    <col min="7" max="11" width="11.81640625" bestFit="1" customWidth="1"/>
    <col min="12" max="12" width="13.6328125" bestFit="1" customWidth="1"/>
  </cols>
  <sheetData>
    <row r="1" spans="1:12" s="30" customFormat="1" ht="13" x14ac:dyDescent="0.3">
      <c r="A1" s="32" t="s">
        <v>98</v>
      </c>
      <c r="B1" s="32">
        <v>2017</v>
      </c>
      <c r="C1" s="32">
        <v>2018</v>
      </c>
      <c r="D1" s="32">
        <v>2019</v>
      </c>
      <c r="E1" s="32">
        <v>2020</v>
      </c>
      <c r="F1" s="32">
        <v>2021</v>
      </c>
      <c r="G1" s="32">
        <v>2022</v>
      </c>
      <c r="H1" s="32">
        <v>2023</v>
      </c>
      <c r="I1" s="32">
        <v>2024</v>
      </c>
      <c r="J1" s="32">
        <v>2025</v>
      </c>
      <c r="K1" s="32">
        <v>2026</v>
      </c>
      <c r="L1" s="32" t="s">
        <v>126</v>
      </c>
    </row>
    <row r="2" spans="1:12" x14ac:dyDescent="0.25">
      <c r="A2" s="33" t="s">
        <v>99</v>
      </c>
      <c r="B2" s="12">
        <v>0.17</v>
      </c>
      <c r="C2" s="12">
        <v>0.2</v>
      </c>
      <c r="D2" s="12">
        <v>0.22</v>
      </c>
      <c r="E2" s="12">
        <v>0.16</v>
      </c>
      <c r="F2" s="12">
        <v>0.25</v>
      </c>
    </row>
    <row r="3" spans="1:12" x14ac:dyDescent="0.25">
      <c r="A3" s="33" t="s">
        <v>100</v>
      </c>
      <c r="B3" s="34">
        <f>'Profit And Loss'!B22+'Profit And Loss'!B18</f>
        <v>1309.45</v>
      </c>
      <c r="C3" s="34">
        <f>'Profit And Loss'!C22+'Profit And Loss'!C18</f>
        <v>1525.9499999999998</v>
      </c>
      <c r="D3" s="34">
        <f>'Profit And Loss'!D22+'Profit And Loss'!D18</f>
        <v>1777.99</v>
      </c>
      <c r="E3" s="34">
        <f>'Profit And Loss'!E22+'Profit And Loss'!E18</f>
        <v>1937.77</v>
      </c>
      <c r="F3" s="34">
        <f>'Profit And Loss'!F22+'Profit And Loss'!F18</f>
        <v>2624.31</v>
      </c>
      <c r="G3" s="12">
        <f>B2*B3+C2*C3+D2*D3+E2*E3+F2*F3+400</f>
        <v>2285.0750000000003</v>
      </c>
      <c r="H3" s="12">
        <f>G3+200</f>
        <v>2485.0750000000003</v>
      </c>
      <c r="I3" s="12">
        <f>H3+200</f>
        <v>2685.0750000000003</v>
      </c>
      <c r="J3" s="12">
        <f>I3+300</f>
        <v>2985.0750000000003</v>
      </c>
      <c r="K3" s="12">
        <f>J3+350</f>
        <v>3335.0750000000003</v>
      </c>
    </row>
    <row r="4" spans="1:12" x14ac:dyDescent="0.25">
      <c r="A4" s="33" t="s">
        <v>101</v>
      </c>
      <c r="B4" s="12">
        <f>('Profit And Loss'!B26/'Profit And Loss'!B24)*100</f>
        <v>30.81825153374233</v>
      </c>
      <c r="C4" s="12">
        <f>('Profit And Loss'!C26/'Profit And Loss'!C24)*100</f>
        <v>33.831238968360601</v>
      </c>
      <c r="D4" s="12">
        <f>('Profit And Loss'!D26/'Profit And Loss'!D24)*100</f>
        <v>33.90694782067952</v>
      </c>
      <c r="E4" s="12">
        <f>('Profit And Loss'!E26/'Profit And Loss'!E24)*100</f>
        <v>24.280042953369563</v>
      </c>
      <c r="F4" s="12">
        <f>('Profit And Loss'!F26/'Profit And Loss'!F24)*100</f>
        <v>26.385705189430116</v>
      </c>
      <c r="G4" s="12">
        <f>B2*B4+C2*C4+D2*D4+E2*E4+F2*F4</f>
        <v>29.946112244854469</v>
      </c>
      <c r="H4" s="12">
        <v>29.946112240000001</v>
      </c>
      <c r="I4" s="12">
        <v>29.946112240000001</v>
      </c>
      <c r="J4" s="12">
        <v>29.946112240000001</v>
      </c>
      <c r="K4" s="12">
        <v>29.946112240000001</v>
      </c>
    </row>
    <row r="5" spans="1:12" x14ac:dyDescent="0.25">
      <c r="A5" s="33" t="s">
        <v>102</v>
      </c>
      <c r="B5" s="35">
        <f>'Profit And Loss'!B19</f>
        <v>119.27</v>
      </c>
      <c r="C5" s="35">
        <f>'Profit And Loss'!C19</f>
        <v>142.07</v>
      </c>
      <c r="D5" s="35">
        <f>'Profit And Loss'!D19</f>
        <v>161.88</v>
      </c>
      <c r="E5" s="35">
        <f>'Profit And Loss'!E19</f>
        <v>184.81</v>
      </c>
      <c r="F5" s="35">
        <f>'Profit And Loss'!F19</f>
        <v>197.85</v>
      </c>
      <c r="G5" s="12">
        <f>B2*B5+C2*C5+D2*D5+E2*E5+F2*F5+30</f>
        <v>193.3356</v>
      </c>
      <c r="H5" s="12">
        <f>G5+25</f>
        <v>218.3356</v>
      </c>
      <c r="I5" s="12">
        <f>H5+20</f>
        <v>238.3356</v>
      </c>
      <c r="J5" s="12">
        <f>I5+20</f>
        <v>258.3356</v>
      </c>
      <c r="K5" s="12">
        <f>J5+15</f>
        <v>273.3356</v>
      </c>
    </row>
    <row r="6" spans="1:12" x14ac:dyDescent="0.25">
      <c r="A6" s="33" t="s">
        <v>107</v>
      </c>
      <c r="B6" s="34">
        <f>'Balance Sheet'!B45-'Balance Sheet'!B25</f>
        <v>993.83999999999969</v>
      </c>
      <c r="C6" s="34">
        <f>'Balance Sheet'!C45-'Balance Sheet'!C25</f>
        <v>1503.3100000000002</v>
      </c>
      <c r="D6" s="34">
        <f>'Balance Sheet'!D45-'Balance Sheet'!D25</f>
        <v>1674.93</v>
      </c>
      <c r="E6" s="34">
        <f>'Balance Sheet'!E45-'Balance Sheet'!E25</f>
        <v>1109.6699999999996</v>
      </c>
      <c r="F6" s="34">
        <f>'Balance Sheet'!F45-'Balance Sheet'!F25</f>
        <v>805.41000000000031</v>
      </c>
    </row>
    <row r="7" spans="1:12" x14ac:dyDescent="0.25">
      <c r="A7" s="33" t="s">
        <v>103</v>
      </c>
      <c r="B7" s="12">
        <v>615.12</v>
      </c>
      <c r="C7" s="34">
        <f>'Balance Sheet'!C45-'Balance Sheet'!B45</f>
        <v>812.04000000000042</v>
      </c>
      <c r="D7" s="34">
        <f>'Balance Sheet'!D45-'Balance Sheet'!C45</f>
        <v>375.05999999999995</v>
      </c>
      <c r="E7" s="34">
        <f>'Balance Sheet'!E45-'Balance Sheet'!D45</f>
        <v>148.62999999999965</v>
      </c>
      <c r="F7" s="34">
        <f>'Balance Sheet'!F45-'Balance Sheet'!E45</f>
        <v>744.71000000000049</v>
      </c>
    </row>
    <row r="8" spans="1:12" x14ac:dyDescent="0.25">
      <c r="A8" s="33" t="s">
        <v>104</v>
      </c>
      <c r="B8" s="12">
        <v>15.56</v>
      </c>
      <c r="C8" s="34">
        <f>'Balance Sheet'!C25-'Balance Sheet'!B25</f>
        <v>302.56999999999994</v>
      </c>
      <c r="D8" s="34">
        <f>'Balance Sheet'!D25-'Balance Sheet'!C25</f>
        <v>203.44000000000005</v>
      </c>
      <c r="E8" s="34">
        <f>'Balance Sheet'!E25-'Balance Sheet'!D25</f>
        <v>713.8900000000001</v>
      </c>
      <c r="F8" s="34">
        <f>'Balance Sheet'!F25-'Balance Sheet'!E25</f>
        <v>1048.9699999999998</v>
      </c>
    </row>
    <row r="9" spans="1:12" x14ac:dyDescent="0.25">
      <c r="A9" s="33" t="s">
        <v>105</v>
      </c>
      <c r="B9" s="12">
        <v>599.55999999999995</v>
      </c>
      <c r="C9" s="34">
        <f>D6-C6</f>
        <v>171.61999999999989</v>
      </c>
      <c r="D9" s="34">
        <f t="shared" ref="D9:E9" si="0">E6-D6</f>
        <v>-565.26000000000045</v>
      </c>
      <c r="E9" s="34">
        <f t="shared" si="0"/>
        <v>-304.25999999999931</v>
      </c>
      <c r="F9" s="34">
        <v>-105.34</v>
      </c>
      <c r="G9" s="12">
        <f>B2*B9+C2*C9+D2*D9+E2*E9+F2*F9+50</f>
        <v>-13.124600000000022</v>
      </c>
      <c r="H9" s="12">
        <f>G9+100</f>
        <v>86.875399999999985</v>
      </c>
      <c r="I9" s="12">
        <f>H9+150</f>
        <v>236.87539999999998</v>
      </c>
      <c r="J9" s="12">
        <f>I9+150</f>
        <v>386.87540000000001</v>
      </c>
      <c r="K9" s="12">
        <f>J9+150</f>
        <v>536.87540000000001</v>
      </c>
    </row>
    <row r="10" spans="1:12" x14ac:dyDescent="0.25">
      <c r="A10" s="33" t="s">
        <v>106</v>
      </c>
      <c r="B10" s="12">
        <v>295.97000000000003</v>
      </c>
      <c r="C10" s="34">
        <f>'Balance Sheet'!C29-'Profit And Loss'!B29+'Profit And Loss'!C19</f>
        <v>467.17</v>
      </c>
      <c r="D10" s="34">
        <f>'Balance Sheet'!D29-'Profit And Loss'!C29+'Profit And Loss'!D19</f>
        <v>708.05</v>
      </c>
      <c r="E10" s="34">
        <f>'Balance Sheet'!E29-'Profit And Loss'!D29+'Profit And Loss'!E19</f>
        <v>759.2199999999998</v>
      </c>
      <c r="F10" s="34">
        <f>'Balance Sheet'!F29-'Profit And Loss'!E29+'Profit And Loss'!F19</f>
        <v>578.25999999999988</v>
      </c>
      <c r="G10" s="12">
        <f>B2*B10+C2*C10+D2*D10+E2*E10+F2*F10</f>
        <v>565.56009999999992</v>
      </c>
      <c r="H10" s="12">
        <f>G10+50</f>
        <v>615.56009999999992</v>
      </c>
      <c r="I10" s="12">
        <f>H10+50</f>
        <v>665.56009999999992</v>
      </c>
      <c r="J10" s="12">
        <f>I10+70</f>
        <v>735.56009999999992</v>
      </c>
      <c r="K10" s="12">
        <f>J10+70</f>
        <v>805.56009999999992</v>
      </c>
      <c r="L10" s="12">
        <f>(G11*(1+B14))/(E17-B22)</f>
        <v>3514.539088622184</v>
      </c>
    </row>
    <row r="11" spans="1:12" x14ac:dyDescent="0.25">
      <c r="A11" s="33" t="s">
        <v>117</v>
      </c>
      <c r="B11" s="12">
        <f>B3*(1-B4/100)+B5-B10-B9</f>
        <v>129.64040529141107</v>
      </c>
      <c r="C11" s="12">
        <f t="shared" ref="C11:E11" si="1">C3*(1-C4/100)+C5-C10-C9</f>
        <v>512.98220896230123</v>
      </c>
      <c r="D11" s="12">
        <f t="shared" si="1"/>
        <v>1194.2178584431008</v>
      </c>
      <c r="E11" s="12">
        <f t="shared" si="1"/>
        <v>1197.1286116624901</v>
      </c>
      <c r="F11" s="12">
        <f>F3*(1-(F4/100))+F5+F10-F9</f>
        <v>2813.3173001432665</v>
      </c>
      <c r="G11" s="12">
        <f t="shared" ref="G11:K11" si="2">G3*(1-(G4/100))+G5+G10-G9</f>
        <v>2372.8041756208922</v>
      </c>
      <c r="H11" s="12">
        <f t="shared" si="2"/>
        <v>2487.91195125182</v>
      </c>
      <c r="I11" s="12">
        <f t="shared" si="2"/>
        <v>2548.0197267718204</v>
      </c>
      <c r="J11" s="12">
        <f t="shared" si="2"/>
        <v>2698.18139005182</v>
      </c>
      <c r="K11" s="12">
        <f t="shared" si="2"/>
        <v>2878.3699972118202</v>
      </c>
    </row>
    <row r="12" spans="1:12" x14ac:dyDescent="0.25">
      <c r="A12" s="33" t="s">
        <v>111</v>
      </c>
      <c r="B12" s="12">
        <f>'Balance Sheet'!B12/'Balance Sheet'!B26</f>
        <v>0.65625486760124607</v>
      </c>
      <c r="C12" s="12">
        <f>'Balance Sheet'!C12/'Balance Sheet'!C26</f>
        <v>0.65656949220496841</v>
      </c>
      <c r="D12" s="12">
        <f>'Balance Sheet'!D12/'Balance Sheet'!D26</f>
        <v>0.68141183180546705</v>
      </c>
      <c r="E12" s="12">
        <f>'Balance Sheet'!E12/'Balance Sheet'!E26</f>
        <v>0.56142576792570487</v>
      </c>
      <c r="F12" s="12">
        <f>'Balance Sheet'!F12/'Balance Sheet'!F26</f>
        <v>0.44297133895549634</v>
      </c>
    </row>
    <row r="13" spans="1:12" x14ac:dyDescent="0.25">
      <c r="A13" s="33" t="s">
        <v>112</v>
      </c>
      <c r="B13" s="12">
        <f>1-B12</f>
        <v>0.34374513239875393</v>
      </c>
      <c r="C13" s="12">
        <f t="shared" ref="C13:F13" si="3">1-C12</f>
        <v>0.34343050779503159</v>
      </c>
      <c r="D13" s="12">
        <f t="shared" si="3"/>
        <v>0.31858816819453295</v>
      </c>
      <c r="E13" s="12">
        <f t="shared" si="3"/>
        <v>0.43857423207429513</v>
      </c>
      <c r="F13" s="12">
        <f t="shared" si="3"/>
        <v>0.55702866104450366</v>
      </c>
    </row>
    <row r="14" spans="1:12" x14ac:dyDescent="0.25">
      <c r="A14" s="33" t="s">
        <v>113</v>
      </c>
      <c r="B14" s="12">
        <f>('Profit And Loss'!B42*(1+FCFF!B24)/10)+FCFF!B24</f>
        <v>28.880000000000003</v>
      </c>
      <c r="C14" s="12">
        <f>('Profit And Loss'!C42*(1+FCFF!C24)/10)+FCFF!C24</f>
        <v>35.096214716066491</v>
      </c>
      <c r="D14" s="12">
        <f>('Profit And Loss'!D42*(1+FCFF!D24)/10)+FCFF!D24</f>
        <v>41.002045390204771</v>
      </c>
      <c r="E14" s="12">
        <f>('Profit And Loss'!E42*(1+FCFF!E24)/10)+FCFF!E24</f>
        <v>36.051083478984609</v>
      </c>
      <c r="F14" s="12"/>
    </row>
    <row r="15" spans="1:12" x14ac:dyDescent="0.25">
      <c r="A15" s="33" t="s">
        <v>114</v>
      </c>
      <c r="B15" s="12">
        <f>'Profit And Loss'!B18/('Balance Sheet'!B15+'Balance Sheet'!B21)</f>
        <v>4.7100509895428223E-2</v>
      </c>
      <c r="C15" s="12">
        <f>'Profit And Loss'!C18/('Balance Sheet'!C15+'Balance Sheet'!C21)</f>
        <v>4.2587812815621143E-2</v>
      </c>
      <c r="D15" s="12">
        <f>'Profit And Loss'!D18/('Balance Sheet'!D15+'Balance Sheet'!D21)</f>
        <v>6.5860020286914941E-2</v>
      </c>
      <c r="E15" s="12">
        <f>'Profit And Loss'!E18/('Balance Sheet'!E15+'Balance Sheet'!E21)</f>
        <v>5.0790925002476804E-2</v>
      </c>
      <c r="F15" s="12">
        <f>'Profit And Loss'!F18/('Balance Sheet'!F15+'Balance Sheet'!F21)</f>
        <v>5.3134148152761872E-2</v>
      </c>
    </row>
    <row r="16" spans="1:12" x14ac:dyDescent="0.25">
      <c r="A16" s="33" t="s">
        <v>115</v>
      </c>
      <c r="B16" s="12">
        <f>B15*(1-(B4/100))/('Balance Sheet'!B15+'Balance Sheet'!B21)</f>
        <v>2.81608817579984E-4</v>
      </c>
      <c r="C16" s="12">
        <f>C15*(1-(C4/100))/('Balance Sheet'!C15+'Balance Sheet'!C21)</f>
        <v>1.5811821395225146E-4</v>
      </c>
      <c r="D16" s="12">
        <f>D15*(1-(D4/100))/('Balance Sheet'!D15+'Balance Sheet'!D21)</f>
        <v>3.1538108660731604E-4</v>
      </c>
      <c r="E16" s="12">
        <f>E15*(1-(E4/100))/('Balance Sheet'!E15+'Balance Sheet'!E21)</f>
        <v>2.5401318711708144E-5</v>
      </c>
      <c r="F16" s="12">
        <f>F15*(1-(F4/100))/('Balance Sheet'!F15+'Balance Sheet'!F21)</f>
        <v>1.8740365406871072E-5</v>
      </c>
    </row>
    <row r="17" spans="1:6" x14ac:dyDescent="0.25">
      <c r="A17" s="33" t="s">
        <v>110</v>
      </c>
      <c r="B17" s="12">
        <f>B12*B14+B13*B16</f>
        <v>18.952737377984274</v>
      </c>
      <c r="C17" s="12">
        <f t="shared" ref="C17:E17" si="4">C12*C14+C13*C16</f>
        <v>23.043158177062825</v>
      </c>
      <c r="D17" s="12">
        <f t="shared" si="4"/>
        <v>27.939379333793003</v>
      </c>
      <c r="E17" s="12">
        <f t="shared" si="4"/>
        <v>20.240018367106476</v>
      </c>
      <c r="F17" s="12"/>
    </row>
    <row r="19" spans="1:6" s="31" customFormat="1" x14ac:dyDescent="0.25">
      <c r="A19" s="26" t="s">
        <v>118</v>
      </c>
      <c r="B19" s="26" t="s">
        <v>122</v>
      </c>
      <c r="C19" s="26" t="s">
        <v>123</v>
      </c>
      <c r="D19" s="26" t="s">
        <v>124</v>
      </c>
      <c r="E19" s="26" t="s">
        <v>125</v>
      </c>
    </row>
    <row r="20" spans="1:6" x14ac:dyDescent="0.25">
      <c r="A20" s="33" t="s">
        <v>119</v>
      </c>
      <c r="B20" s="12">
        <v>5.6000000000000001E-2</v>
      </c>
      <c r="C20" s="12">
        <v>7.4999999999999997E-2</v>
      </c>
      <c r="D20" s="12">
        <v>0.06</v>
      </c>
      <c r="E20" s="12">
        <v>0.13</v>
      </c>
    </row>
    <row r="21" spans="1:6" x14ac:dyDescent="0.25">
      <c r="A21" s="33" t="s">
        <v>120</v>
      </c>
      <c r="B21" s="12">
        <v>0.6</v>
      </c>
      <c r="C21" s="12">
        <v>0.15</v>
      </c>
      <c r="D21" s="12">
        <v>0.15</v>
      </c>
      <c r="E21" s="12">
        <v>0.1</v>
      </c>
    </row>
    <row r="22" spans="1:6" x14ac:dyDescent="0.25">
      <c r="A22" s="33" t="s">
        <v>121</v>
      </c>
      <c r="B22" s="36">
        <f>B20*B21+C20*C21+D20*D21+E20*E21</f>
        <v>6.6850000000000007E-2</v>
      </c>
      <c r="C22" s="37"/>
      <c r="D22" s="37"/>
      <c r="E22" s="38"/>
    </row>
    <row r="24" spans="1:6" x14ac:dyDescent="0.25">
      <c r="A24" s="33" t="s">
        <v>127</v>
      </c>
      <c r="B24" s="12"/>
      <c r="C24" s="12">
        <f>('Profit And Loss'!C42-'Profit And Loss'!B42)/'Profit And Loss'!B42</f>
        <v>0.1007963988919668</v>
      </c>
      <c r="D24" s="12">
        <f>('Profit And Loss'!D42-'Profit And Loss'!C42)/'Profit And Loss'!C42</f>
        <v>0.13381145607247322</v>
      </c>
      <c r="E24" s="12">
        <f>('Profit And Loss'!E42-'Profit And Loss'!D42)/'Profit And Loss'!D42</f>
        <v>8.3229296712524788E-5</v>
      </c>
    </row>
  </sheetData>
  <mergeCells count="1">
    <mergeCell ref="B22:E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Profit And Loss</vt:lpstr>
      <vt:lpstr>FCFF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Prakhar</cp:lastModifiedBy>
  <cp:lastPrinted>2021-07-23T16:55:12Z</cp:lastPrinted>
  <dcterms:created xsi:type="dcterms:W3CDTF">2021-07-20T14:19:27Z</dcterms:created>
  <dcterms:modified xsi:type="dcterms:W3CDTF">2021-07-23T16:57:10Z</dcterms:modified>
</cp:coreProperties>
</file>