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pramara1-my.sharepoint.com/personal/shubham_mishra_pramara_com/Documents/Documents/"/>
    </mc:Choice>
  </mc:AlternateContent>
  <xr:revisionPtr revIDLastSave="0" documentId="8_{B1D74386-F282-447E-AA0E-D1AC7D26A3EA}" xr6:coauthVersionLast="47" xr6:coauthVersionMax="47" xr10:uidLastSave="{00000000-0000-0000-0000-000000000000}"/>
  <bookViews>
    <workbookView xWindow="-96" yWindow="-96" windowWidth="23232" windowHeight="12432" tabRatio="780" xr2:uid="{00000000-000D-0000-FFFF-FFFF00000000}"/>
  </bookViews>
  <sheets>
    <sheet name="Sunglasses BOM" sheetId="1" r:id="rId1"/>
    <sheet name="Raw Material Requirement" sheetId="17" r:id="rId2"/>
    <sheet name="Paint requirement" sheetId="18" r:id="rId3"/>
    <sheet name="Mold Daily Output" sheetId="24" r:id="rId4"/>
    <sheet name="Molding ABS DPR" sheetId="27" r:id="rId5"/>
    <sheet name="Molding PP DPR" sheetId="29" r:id="rId6"/>
    <sheet name="Buffing DPR - ABS" sheetId="46" r:id="rId7"/>
    <sheet name="Pre assembly BOM" sheetId="32" r:id="rId8"/>
    <sheet name="Screwing Pramara- DPR - ABS" sheetId="33" r:id="rId9"/>
    <sheet name="Screwing PP DPR" sheetId="36" r:id="rId10"/>
    <sheet name="Lacquer DPR - ABS - Pramara" sheetId="37" r:id="rId11"/>
    <sheet name="Riveting DPR - ABS - Pramara" sheetId="39" r:id="rId12"/>
    <sheet name="Pad Printing DPR - ABS" sheetId="47" r:id="rId13"/>
    <sheet name="Pad Printing DPR - PP" sheetId="48" r:id="rId14"/>
    <sheet name="Lens Assembly DPR - ABS" sheetId="41" r:id="rId15"/>
    <sheet name="Lens Assembly DPR - PP" sheetId="49" r:id="rId16"/>
    <sheet name="Sticker, Cleaning and FQC - ABS" sheetId="50" r:id="rId17"/>
    <sheet name="Sticker, Cleaning and FQC - PP" sheetId="51" r:id="rId18"/>
    <sheet name="Final Processes daily output" sheetId="25" r:id="rId19"/>
    <sheet name="Planning" sheetId="23" r:id="rId20"/>
    <sheet name="Tracker" sheetId="20" r:id="rId21"/>
    <sheet name="Checklist" sheetId="21" r:id="rId22"/>
    <sheet name="Packing material requirement" sheetId="19" r:id="rId23"/>
    <sheet name="Vendor Details" sheetId="22" r:id="rId24"/>
    <sheet name="Black lens" sheetId="10" r:id="rId25"/>
    <sheet name="Silver lens" sheetId="16" r:id="rId26"/>
    <sheet name="yellow lens" sheetId="15" r:id="rId27"/>
    <sheet name="Red lens" sheetId="14" r:id="rId28"/>
    <sheet name="Orange lens" sheetId="13" r:id="rId29"/>
    <sheet name="Green lens" sheetId="12" r:id="rId30"/>
    <sheet name=" Blue lens" sheetId="11" r:id="rId31"/>
  </sheets>
  <definedNames>
    <definedName name="_xlnm._FilterDatabase" localSheetId="7" hidden="1">'Pre assembly BOM'!$B$1:$B$24</definedName>
    <definedName name="_xlnm._FilterDatabase" localSheetId="0" hidden="1">'Sunglasses BOM'!$A$56:$I$63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8" i="29" l="1"/>
  <c r="J28" i="29"/>
  <c r="K28" i="29"/>
  <c r="L28" i="29"/>
  <c r="M28" i="29"/>
  <c r="N28" i="29"/>
  <c r="O28" i="29"/>
  <c r="P28" i="29"/>
  <c r="Q28" i="29"/>
  <c r="R28" i="29"/>
  <c r="S28" i="29"/>
  <c r="T28" i="29"/>
  <c r="U28" i="29"/>
  <c r="V28" i="29"/>
  <c r="W28" i="29"/>
  <c r="X28" i="29"/>
  <c r="Y28" i="29"/>
  <c r="Z28" i="29"/>
  <c r="AA28" i="29"/>
  <c r="AB28" i="29"/>
  <c r="AC28" i="29"/>
  <c r="AD28" i="29"/>
  <c r="AE28" i="29"/>
  <c r="AF28" i="29"/>
  <c r="AG28" i="29"/>
  <c r="AH28" i="29"/>
  <c r="AI28" i="29"/>
  <c r="AJ28" i="29"/>
  <c r="AK28" i="29"/>
  <c r="AL28" i="29"/>
  <c r="AM28" i="29"/>
  <c r="AN28" i="29"/>
  <c r="AO28" i="29"/>
  <c r="AP28" i="29"/>
  <c r="AQ28" i="29"/>
  <c r="AR28" i="29"/>
  <c r="AS28" i="29"/>
  <c r="AT28" i="29"/>
  <c r="AU28" i="29"/>
  <c r="AV28" i="29"/>
  <c r="AW28" i="29"/>
  <c r="AX28" i="29"/>
  <c r="AY28" i="29"/>
  <c r="AZ28" i="29"/>
  <c r="BA28" i="29"/>
  <c r="BB28" i="29"/>
  <c r="BC28" i="29"/>
  <c r="BD28" i="29"/>
  <c r="BE28" i="29"/>
  <c r="BF28" i="29"/>
  <c r="BG28" i="29"/>
  <c r="BH28" i="29"/>
  <c r="BI28" i="29"/>
  <c r="BJ28" i="29"/>
  <c r="BK28" i="29"/>
  <c r="BL28" i="29"/>
  <c r="BM28" i="29"/>
  <c r="BN28" i="29"/>
  <c r="H28" i="29"/>
  <c r="I27" i="29"/>
  <c r="J27" i="29"/>
  <c r="K27" i="29"/>
  <c r="L27" i="29"/>
  <c r="M27" i="29"/>
  <c r="N27" i="29"/>
  <c r="O27" i="29"/>
  <c r="P27" i="29"/>
  <c r="Q27" i="29"/>
  <c r="R27" i="29"/>
  <c r="S27" i="29"/>
  <c r="T27" i="29"/>
  <c r="U27" i="29"/>
  <c r="V27" i="29"/>
  <c r="W27" i="29"/>
  <c r="X27" i="29"/>
  <c r="Y27" i="29"/>
  <c r="Z27" i="29"/>
  <c r="AA27" i="29"/>
  <c r="AB27" i="29"/>
  <c r="AC27" i="29"/>
  <c r="AD27" i="29"/>
  <c r="AE27" i="29"/>
  <c r="AF27" i="29"/>
  <c r="AG27" i="29"/>
  <c r="AH27" i="29"/>
  <c r="AI27" i="29"/>
  <c r="AJ27" i="29"/>
  <c r="AK27" i="29"/>
  <c r="AL27" i="29"/>
  <c r="AM27" i="29"/>
  <c r="AN27" i="29"/>
  <c r="AO27" i="29"/>
  <c r="AP27" i="29"/>
  <c r="AQ27" i="29"/>
  <c r="AR27" i="29"/>
  <c r="AS27" i="29"/>
  <c r="AT27" i="29"/>
  <c r="AU27" i="29"/>
  <c r="AV27" i="29"/>
  <c r="AW27" i="29"/>
  <c r="AX27" i="29"/>
  <c r="AY27" i="29"/>
  <c r="AZ27" i="29"/>
  <c r="BA27" i="29"/>
  <c r="BB27" i="29"/>
  <c r="BC27" i="29"/>
  <c r="BD27" i="29"/>
  <c r="BE27" i="29"/>
  <c r="BF27" i="29"/>
  <c r="BG27" i="29"/>
  <c r="BH27" i="29"/>
  <c r="BI27" i="29"/>
  <c r="BJ27" i="29"/>
  <c r="BK27" i="29"/>
  <c r="BL27" i="29"/>
  <c r="BM27" i="29"/>
  <c r="BN27" i="29"/>
  <c r="I13" i="29"/>
  <c r="J13" i="29"/>
  <c r="K13" i="29"/>
  <c r="L13" i="29"/>
  <c r="M13" i="29"/>
  <c r="N13" i="29"/>
  <c r="O13" i="29"/>
  <c r="P13" i="29"/>
  <c r="Q13" i="29"/>
  <c r="R13" i="29"/>
  <c r="S13" i="29"/>
  <c r="T13" i="29"/>
  <c r="U13" i="29"/>
  <c r="V13" i="29"/>
  <c r="W13" i="29"/>
  <c r="X13" i="29"/>
  <c r="Y13" i="29"/>
  <c r="Z13" i="29"/>
  <c r="AA13" i="29"/>
  <c r="AB13" i="29"/>
  <c r="AC13" i="29"/>
  <c r="AD13" i="29"/>
  <c r="AE13" i="29"/>
  <c r="AF13" i="29"/>
  <c r="AG13" i="29"/>
  <c r="AH13" i="29"/>
  <c r="AI13" i="29"/>
  <c r="AJ13" i="29"/>
  <c r="AK13" i="29"/>
  <c r="AL13" i="29"/>
  <c r="AM13" i="29"/>
  <c r="AN13" i="29"/>
  <c r="AO13" i="29"/>
  <c r="AP13" i="29"/>
  <c r="AQ13" i="29"/>
  <c r="AR13" i="29"/>
  <c r="AS13" i="29"/>
  <c r="AT13" i="29"/>
  <c r="AU13" i="29"/>
  <c r="AV13" i="29"/>
  <c r="AW13" i="29"/>
  <c r="AX13" i="29"/>
  <c r="AY13" i="29"/>
  <c r="AZ13" i="29"/>
  <c r="BA13" i="29"/>
  <c r="BB13" i="29"/>
  <c r="BC13" i="29"/>
  <c r="BD13" i="29"/>
  <c r="BE13" i="29"/>
  <c r="BF13" i="29"/>
  <c r="BG13" i="29"/>
  <c r="BH13" i="29"/>
  <c r="BI13" i="29"/>
  <c r="BJ13" i="29"/>
  <c r="BK13" i="29"/>
  <c r="BL13" i="29"/>
  <c r="BM13" i="29"/>
  <c r="BN13" i="29"/>
  <c r="H27" i="29"/>
  <c r="H13" i="29"/>
  <c r="I42" i="27"/>
  <c r="J42" i="27"/>
  <c r="J44" i="27" s="1"/>
  <c r="K42" i="27"/>
  <c r="K44" i="27" s="1"/>
  <c r="L42" i="27"/>
  <c r="L44" i="27" s="1"/>
  <c r="M42" i="27"/>
  <c r="M44" i="27" s="1"/>
  <c r="N42" i="27"/>
  <c r="N44" i="27" s="1"/>
  <c r="O42" i="27"/>
  <c r="O44" i="27" s="1"/>
  <c r="P42" i="27"/>
  <c r="P44" i="27" s="1"/>
  <c r="Q42" i="27"/>
  <c r="Q44" i="27" s="1"/>
  <c r="R42" i="27"/>
  <c r="R44" i="27" s="1"/>
  <c r="S42" i="27"/>
  <c r="S44" i="27" s="1"/>
  <c r="T42" i="27"/>
  <c r="T44" i="27" s="1"/>
  <c r="U42" i="27"/>
  <c r="U44" i="27" s="1"/>
  <c r="V42" i="27"/>
  <c r="V44" i="27" s="1"/>
  <c r="W42" i="27"/>
  <c r="W44" i="27" s="1"/>
  <c r="X42" i="27"/>
  <c r="X44" i="27" s="1"/>
  <c r="Y42" i="27"/>
  <c r="Z42" i="27"/>
  <c r="Z44" i="27" s="1"/>
  <c r="AA42" i="27"/>
  <c r="AA44" i="27" s="1"/>
  <c r="AB42" i="27"/>
  <c r="AB44" i="27" s="1"/>
  <c r="AC42" i="27"/>
  <c r="AC44" i="27" s="1"/>
  <c r="AD42" i="27"/>
  <c r="AD44" i="27" s="1"/>
  <c r="AE42" i="27"/>
  <c r="AE44" i="27" s="1"/>
  <c r="AF42" i="27"/>
  <c r="AF44" i="27" s="1"/>
  <c r="AG42" i="27"/>
  <c r="AG44" i="27" s="1"/>
  <c r="AH42" i="27"/>
  <c r="AH44" i="27" s="1"/>
  <c r="AI42" i="27"/>
  <c r="AI44" i="27" s="1"/>
  <c r="AJ42" i="27"/>
  <c r="AJ44" i="27" s="1"/>
  <c r="AK42" i="27"/>
  <c r="AK44" i="27" s="1"/>
  <c r="AL42" i="27"/>
  <c r="AL44" i="27" s="1"/>
  <c r="AM42" i="27"/>
  <c r="AM44" i="27" s="1"/>
  <c r="AN42" i="27"/>
  <c r="AN44" i="27" s="1"/>
  <c r="AO42" i="27"/>
  <c r="AP42" i="27"/>
  <c r="AP44" i="27" s="1"/>
  <c r="AQ42" i="27"/>
  <c r="AQ44" i="27" s="1"/>
  <c r="AR42" i="27"/>
  <c r="AR44" i="27" s="1"/>
  <c r="AS42" i="27"/>
  <c r="AS44" i="27" s="1"/>
  <c r="AT42" i="27"/>
  <c r="AT44" i="27" s="1"/>
  <c r="AU42" i="27"/>
  <c r="AU44" i="27" s="1"/>
  <c r="AV42" i="27"/>
  <c r="AV44" i="27" s="1"/>
  <c r="AW42" i="27"/>
  <c r="AW44" i="27" s="1"/>
  <c r="AX42" i="27"/>
  <c r="AX44" i="27" s="1"/>
  <c r="AY42" i="27"/>
  <c r="AY44" i="27" s="1"/>
  <c r="AZ42" i="27"/>
  <c r="AZ44" i="27" s="1"/>
  <c r="BA42" i="27"/>
  <c r="BA44" i="27" s="1"/>
  <c r="BB42" i="27"/>
  <c r="BB44" i="27" s="1"/>
  <c r="BC42" i="27"/>
  <c r="BC44" i="27" s="1"/>
  <c r="BD42" i="27"/>
  <c r="BD44" i="27" s="1"/>
  <c r="BE42" i="27"/>
  <c r="BF42" i="27"/>
  <c r="BF44" i="27" s="1"/>
  <c r="BG42" i="27"/>
  <c r="BG44" i="27" s="1"/>
  <c r="BH42" i="27"/>
  <c r="BH44" i="27" s="1"/>
  <c r="BI42" i="27"/>
  <c r="BI44" i="27" s="1"/>
  <c r="BJ42" i="27"/>
  <c r="BJ44" i="27" s="1"/>
  <c r="BK42" i="27"/>
  <c r="BK44" i="27" s="1"/>
  <c r="BL42" i="27"/>
  <c r="BL44" i="27" s="1"/>
  <c r="BM42" i="27"/>
  <c r="BM44" i="27" s="1"/>
  <c r="BN42" i="27"/>
  <c r="BN44" i="27" s="1"/>
  <c r="BO42" i="27"/>
  <c r="BO44" i="27" s="1"/>
  <c r="BP42" i="27"/>
  <c r="BP44" i="27" s="1"/>
  <c r="BQ42" i="27"/>
  <c r="BQ44" i="27" s="1"/>
  <c r="BR42" i="27"/>
  <c r="BR44" i="27" s="1"/>
  <c r="BS42" i="27"/>
  <c r="BS44" i="27" s="1"/>
  <c r="BT42" i="27"/>
  <c r="BT44" i="27" s="1"/>
  <c r="BU42" i="27"/>
  <c r="BV42" i="27"/>
  <c r="BV44" i="27" s="1"/>
  <c r="BW42" i="27"/>
  <c r="BW44" i="27" s="1"/>
  <c r="BX42" i="27"/>
  <c r="BX44" i="27" s="1"/>
  <c r="BY42" i="27"/>
  <c r="BY44" i="27" s="1"/>
  <c r="BZ42" i="27"/>
  <c r="BZ44" i="27" s="1"/>
  <c r="CA42" i="27"/>
  <c r="CA44" i="27" s="1"/>
  <c r="CB42" i="27"/>
  <c r="CB44" i="27" s="1"/>
  <c r="CC42" i="27"/>
  <c r="CC44" i="27" s="1"/>
  <c r="CD42" i="27"/>
  <c r="CD44" i="27" s="1"/>
  <c r="CE42" i="27"/>
  <c r="CE44" i="27" s="1"/>
  <c r="CF42" i="27"/>
  <c r="CF44" i="27" s="1"/>
  <c r="CG42" i="27"/>
  <c r="CG44" i="27" s="1"/>
  <c r="CH42" i="27"/>
  <c r="CH44" i="27" s="1"/>
  <c r="H42" i="27"/>
  <c r="H44" i="27" s="1"/>
  <c r="I44" i="27"/>
  <c r="Y44" i="27"/>
  <c r="AO44" i="27"/>
  <c r="BE44" i="27"/>
  <c r="BU44" i="27"/>
  <c r="I20" i="27"/>
  <c r="J20" i="27"/>
  <c r="K20" i="27"/>
  <c r="L20" i="27"/>
  <c r="M20" i="27"/>
  <c r="N20" i="27"/>
  <c r="O20" i="27"/>
  <c r="P20" i="27"/>
  <c r="Q20" i="27"/>
  <c r="R20" i="27"/>
  <c r="S20" i="27"/>
  <c r="T20" i="27"/>
  <c r="U20" i="27"/>
  <c r="V20" i="27"/>
  <c r="W20" i="27"/>
  <c r="X20" i="27"/>
  <c r="Y20" i="27"/>
  <c r="Z20" i="27"/>
  <c r="AA20" i="27"/>
  <c r="AB20" i="27"/>
  <c r="AC20" i="27"/>
  <c r="AD20" i="27"/>
  <c r="AE20" i="27"/>
  <c r="AF20" i="27"/>
  <c r="AG20" i="27"/>
  <c r="AH20" i="27"/>
  <c r="AI20" i="27"/>
  <c r="AJ20" i="27"/>
  <c r="AK20" i="27"/>
  <c r="AL20" i="27"/>
  <c r="AM20" i="27"/>
  <c r="AN20" i="27"/>
  <c r="AO20" i="27"/>
  <c r="AP20" i="27"/>
  <c r="AQ20" i="27"/>
  <c r="AR20" i="27"/>
  <c r="AS20" i="27"/>
  <c r="AT20" i="27"/>
  <c r="AU20" i="27"/>
  <c r="AV20" i="27"/>
  <c r="AW20" i="27"/>
  <c r="AX20" i="27"/>
  <c r="AY20" i="27"/>
  <c r="AZ20" i="27"/>
  <c r="BA20" i="27"/>
  <c r="BB20" i="27"/>
  <c r="BC20" i="27"/>
  <c r="BD20" i="27"/>
  <c r="BE20" i="27"/>
  <c r="BF20" i="27"/>
  <c r="BG20" i="27"/>
  <c r="BH20" i="27"/>
  <c r="BI20" i="27"/>
  <c r="BJ20" i="27"/>
  <c r="BK20" i="27"/>
  <c r="BL20" i="27"/>
  <c r="BM20" i="27"/>
  <c r="BN20" i="27"/>
  <c r="BO20" i="27"/>
  <c r="BP20" i="27"/>
  <c r="BQ20" i="27"/>
  <c r="BR20" i="27"/>
  <c r="BS20" i="27"/>
  <c r="BT20" i="27"/>
  <c r="BU20" i="27"/>
  <c r="BV20" i="27"/>
  <c r="BW20" i="27"/>
  <c r="BX20" i="27"/>
  <c r="BY20" i="27"/>
  <c r="BZ20" i="27"/>
  <c r="CA20" i="27"/>
  <c r="CB20" i="27"/>
  <c r="CC20" i="27"/>
  <c r="CD20" i="27"/>
  <c r="CE20" i="27"/>
  <c r="CF20" i="27"/>
  <c r="CG20" i="27"/>
  <c r="CH20" i="27"/>
  <c r="CI20" i="27"/>
  <c r="H20" i="27"/>
  <c r="H5" i="37"/>
  <c r="H6" i="37"/>
  <c r="H7" i="37"/>
  <c r="H8" i="37"/>
  <c r="H9" i="37"/>
  <c r="H10" i="37"/>
  <c r="H11" i="37"/>
  <c r="H12" i="37"/>
  <c r="H13" i="37"/>
  <c r="H14" i="37"/>
  <c r="H15" i="37"/>
  <c r="H16" i="37"/>
  <c r="H17" i="37"/>
  <c r="H18" i="37"/>
  <c r="H19" i="37"/>
  <c r="H20" i="37"/>
  <c r="H21" i="37"/>
  <c r="H22" i="37"/>
  <c r="H23" i="37"/>
  <c r="H24" i="37"/>
  <c r="H25" i="37"/>
  <c r="H26" i="37"/>
  <c r="H4" i="37"/>
  <c r="K11" i="51"/>
  <c r="K21" i="51"/>
  <c r="K22" i="51"/>
  <c r="K23" i="51"/>
  <c r="K24" i="51"/>
  <c r="K12" i="49"/>
  <c r="K5" i="36"/>
  <c r="K6" i="36"/>
  <c r="K7" i="36"/>
  <c r="B9" i="25"/>
  <c r="C9" i="25" s="1"/>
  <c r="D9" i="25" s="1"/>
  <c r="F9" i="25" s="1"/>
  <c r="K19" i="36" s="1"/>
  <c r="B39" i="25"/>
  <c r="C39" i="25" s="1"/>
  <c r="D39" i="25" s="1"/>
  <c r="F39" i="25" s="1"/>
  <c r="B33" i="25"/>
  <c r="C33" i="25" s="1"/>
  <c r="D33" i="25" s="1"/>
  <c r="F33" i="25" s="1"/>
  <c r="K12" i="51" s="1"/>
  <c r="B27" i="25"/>
  <c r="C27" i="25" s="1"/>
  <c r="D27" i="25" s="1"/>
  <c r="F27" i="25" s="1"/>
  <c r="K20" i="49" s="1"/>
  <c r="B21" i="25"/>
  <c r="C21" i="25" s="1"/>
  <c r="I5" i="51"/>
  <c r="I6" i="51"/>
  <c r="I7" i="51"/>
  <c r="I8" i="51"/>
  <c r="I9" i="51"/>
  <c r="I10" i="51"/>
  <c r="I11" i="51"/>
  <c r="I12" i="51"/>
  <c r="I13" i="51"/>
  <c r="I14" i="51"/>
  <c r="J14" i="51" s="1"/>
  <c r="I15" i="51"/>
  <c r="I16" i="51"/>
  <c r="J16" i="51" s="1"/>
  <c r="I17" i="51"/>
  <c r="I18" i="51"/>
  <c r="J18" i="51" s="1"/>
  <c r="I19" i="51"/>
  <c r="I20" i="51"/>
  <c r="J20" i="51" s="1"/>
  <c r="I21" i="51"/>
  <c r="I22" i="51"/>
  <c r="I23" i="51"/>
  <c r="I24" i="51"/>
  <c r="I25" i="51"/>
  <c r="I26" i="51"/>
  <c r="I27" i="51"/>
  <c r="I4" i="51"/>
  <c r="J4" i="51" s="1"/>
  <c r="L27" i="51"/>
  <c r="H27" i="51"/>
  <c r="J27" i="51" s="1"/>
  <c r="L26" i="51"/>
  <c r="M26" i="51" s="1"/>
  <c r="J26" i="51"/>
  <c r="H26" i="51"/>
  <c r="L25" i="51"/>
  <c r="H25" i="51"/>
  <c r="L24" i="51"/>
  <c r="J24" i="51"/>
  <c r="H24" i="51"/>
  <c r="L23" i="51"/>
  <c r="H23" i="51"/>
  <c r="J23" i="51" s="1"/>
  <c r="L22" i="51"/>
  <c r="M22" i="51" s="1"/>
  <c r="J22" i="51"/>
  <c r="H22" i="51"/>
  <c r="L21" i="51"/>
  <c r="M21" i="51" s="1"/>
  <c r="H21" i="51"/>
  <c r="L20" i="51"/>
  <c r="H20" i="51"/>
  <c r="L19" i="51"/>
  <c r="H19" i="51"/>
  <c r="L18" i="51"/>
  <c r="H18" i="51"/>
  <c r="L17" i="51"/>
  <c r="H17" i="51"/>
  <c r="J17" i="51" s="1"/>
  <c r="L16" i="51"/>
  <c r="M16" i="51" s="1"/>
  <c r="H16" i="51"/>
  <c r="L15" i="51"/>
  <c r="H15" i="51"/>
  <c r="L14" i="51"/>
  <c r="H14" i="51"/>
  <c r="L13" i="51"/>
  <c r="H13" i="51"/>
  <c r="J13" i="51" s="1"/>
  <c r="L12" i="51"/>
  <c r="J12" i="51"/>
  <c r="H12" i="51"/>
  <c r="L11" i="51"/>
  <c r="H11" i="51"/>
  <c r="L10" i="51"/>
  <c r="J10" i="51"/>
  <c r="H10" i="51"/>
  <c r="L9" i="51"/>
  <c r="H9" i="51"/>
  <c r="J9" i="51" s="1"/>
  <c r="L8" i="51"/>
  <c r="J8" i="51"/>
  <c r="H8" i="51"/>
  <c r="L7" i="51"/>
  <c r="H7" i="51"/>
  <c r="L6" i="51"/>
  <c r="J6" i="51"/>
  <c r="H6" i="51"/>
  <c r="L5" i="51"/>
  <c r="H5" i="51"/>
  <c r="J5" i="51" s="1"/>
  <c r="L4" i="51"/>
  <c r="H4" i="51"/>
  <c r="Q2" i="51"/>
  <c r="S2" i="51" s="1"/>
  <c r="U2" i="51" s="1"/>
  <c r="W2" i="51" s="1"/>
  <c r="Y2" i="51" s="1"/>
  <c r="AA2" i="51" s="1"/>
  <c r="AC2" i="51" s="1"/>
  <c r="AE2" i="51" s="1"/>
  <c r="AG2" i="51" s="1"/>
  <c r="AI2" i="51" s="1"/>
  <c r="AK2" i="51" s="1"/>
  <c r="AM2" i="51" s="1"/>
  <c r="AO2" i="51" s="1"/>
  <c r="AQ2" i="51" s="1"/>
  <c r="AS2" i="51" s="1"/>
  <c r="AU2" i="51" s="1"/>
  <c r="AW2" i="51" s="1"/>
  <c r="AY2" i="51" s="1"/>
  <c r="BA2" i="51" s="1"/>
  <c r="BC2" i="51" s="1"/>
  <c r="BE2" i="51" s="1"/>
  <c r="BG2" i="51" s="1"/>
  <c r="BI2" i="51" s="1"/>
  <c r="BK2" i="51" s="1"/>
  <c r="BM2" i="51" s="1"/>
  <c r="BO2" i="51" s="1"/>
  <c r="BQ2" i="51" s="1"/>
  <c r="BS2" i="51" s="1"/>
  <c r="BU2" i="51" s="1"/>
  <c r="BW2" i="51" s="1"/>
  <c r="BY2" i="51" s="1"/>
  <c r="CA2" i="51" s="1"/>
  <c r="CC2" i="51" s="1"/>
  <c r="CE2" i="51" s="1"/>
  <c r="CG2" i="51" s="1"/>
  <c r="CI2" i="51" s="1"/>
  <c r="CK2" i="51" s="1"/>
  <c r="CM2" i="51" s="1"/>
  <c r="CO2" i="51" s="1"/>
  <c r="CQ2" i="51" s="1"/>
  <c r="CS2" i="51" s="1"/>
  <c r="CU2" i="51" s="1"/>
  <c r="CW2" i="51" s="1"/>
  <c r="CY2" i="51" s="1"/>
  <c r="DA2" i="51" s="1"/>
  <c r="DC2" i="51" s="1"/>
  <c r="DE2" i="51" s="1"/>
  <c r="DG2" i="51" s="1"/>
  <c r="DI2" i="51" s="1"/>
  <c r="DK2" i="51" s="1"/>
  <c r="I5" i="50"/>
  <c r="I6" i="50"/>
  <c r="I7" i="50"/>
  <c r="I8" i="50"/>
  <c r="I9" i="50"/>
  <c r="I10" i="50"/>
  <c r="I11" i="50"/>
  <c r="I12" i="50"/>
  <c r="I13" i="50"/>
  <c r="I14" i="50"/>
  <c r="I15" i="50"/>
  <c r="I16" i="50"/>
  <c r="I17" i="50"/>
  <c r="I18" i="50"/>
  <c r="I19" i="50"/>
  <c r="I20" i="50"/>
  <c r="I21" i="50"/>
  <c r="J21" i="50" s="1"/>
  <c r="I22" i="50"/>
  <c r="I23" i="50"/>
  <c r="I24" i="50"/>
  <c r="I25" i="50"/>
  <c r="I26" i="50"/>
  <c r="I4" i="50"/>
  <c r="F26" i="50" a="1"/>
  <c r="F26" i="50" s="1"/>
  <c r="J26" i="50" s="1"/>
  <c r="E26" i="50"/>
  <c r="G26" i="50" s="1"/>
  <c r="F25" i="50" a="1"/>
  <c r="F25" i="50" s="1"/>
  <c r="E25" i="50"/>
  <c r="G25" i="50" s="1"/>
  <c r="F24" i="50" a="1"/>
  <c r="F24" i="50" s="1"/>
  <c r="E24" i="50"/>
  <c r="G24" i="50" s="1"/>
  <c r="F23" i="50" a="1"/>
  <c r="F23" i="50" s="1"/>
  <c r="E23" i="50"/>
  <c r="G23" i="50" s="1"/>
  <c r="F22" i="50" a="1"/>
  <c r="F22" i="50" s="1"/>
  <c r="E22" i="50"/>
  <c r="F21" i="50" a="1"/>
  <c r="F21" i="50" s="1"/>
  <c r="E21" i="50"/>
  <c r="G21" i="50" s="1"/>
  <c r="F20" i="50" a="1"/>
  <c r="F20" i="50" s="1"/>
  <c r="G20" i="50" s="1"/>
  <c r="E20" i="50"/>
  <c r="F19" i="50" a="1"/>
  <c r="F19" i="50" s="1"/>
  <c r="E19" i="50"/>
  <c r="G19" i="50" s="1"/>
  <c r="F18" i="50" a="1"/>
  <c r="F18" i="50" s="1"/>
  <c r="G18" i="50" s="1"/>
  <c r="E18" i="50"/>
  <c r="F17" i="50" a="1"/>
  <c r="F17" i="50" s="1"/>
  <c r="E17" i="50"/>
  <c r="J16" i="50"/>
  <c r="F16" i="50" a="1"/>
  <c r="F16" i="50" s="1"/>
  <c r="G16" i="50" s="1"/>
  <c r="E16" i="50"/>
  <c r="F15" i="50" a="1"/>
  <c r="F15" i="50" s="1"/>
  <c r="E15" i="50"/>
  <c r="G15" i="50" s="1"/>
  <c r="F14" i="50" a="1"/>
  <c r="F14" i="50" s="1"/>
  <c r="G14" i="50" s="1"/>
  <c r="E14" i="50"/>
  <c r="F13" i="50" a="1"/>
  <c r="F13" i="50" s="1"/>
  <c r="E13" i="50"/>
  <c r="J12" i="50"/>
  <c r="F12" i="50" a="1"/>
  <c r="F12" i="50" s="1"/>
  <c r="G12" i="50" s="1"/>
  <c r="E12" i="50"/>
  <c r="F11" i="50" a="1"/>
  <c r="F11" i="50" s="1"/>
  <c r="E11" i="50"/>
  <c r="G11" i="50" s="1"/>
  <c r="F10" i="50" a="1"/>
  <c r="F10" i="50" s="1"/>
  <c r="G10" i="50" s="1"/>
  <c r="E10" i="50"/>
  <c r="F9" i="50" a="1"/>
  <c r="F9" i="50" s="1"/>
  <c r="E9" i="50"/>
  <c r="J8" i="50"/>
  <c r="F8" i="50" a="1"/>
  <c r="F8" i="50" s="1"/>
  <c r="G8" i="50" s="1"/>
  <c r="E8" i="50"/>
  <c r="F7" i="50" a="1"/>
  <c r="F7" i="50" s="1"/>
  <c r="E7" i="50"/>
  <c r="G7" i="50" s="1"/>
  <c r="F6" i="50" a="1"/>
  <c r="F6" i="50" s="1"/>
  <c r="G6" i="50" s="1"/>
  <c r="E6" i="50"/>
  <c r="F5" i="50" a="1"/>
  <c r="F5" i="50" s="1"/>
  <c r="E5" i="50"/>
  <c r="J4" i="50"/>
  <c r="F4" i="50" a="1"/>
  <c r="F4" i="50" s="1"/>
  <c r="G4" i="50" s="1"/>
  <c r="E4" i="50"/>
  <c r="N2" i="50"/>
  <c r="P2" i="50" s="1"/>
  <c r="R2" i="50" s="1"/>
  <c r="T2" i="50" s="1"/>
  <c r="V2" i="50" s="1"/>
  <c r="X2" i="50" s="1"/>
  <c r="Z2" i="50" s="1"/>
  <c r="AB2" i="50" s="1"/>
  <c r="AD2" i="50" s="1"/>
  <c r="AF2" i="50" s="1"/>
  <c r="AH2" i="50" s="1"/>
  <c r="AJ2" i="50" s="1"/>
  <c r="AL2" i="50" s="1"/>
  <c r="AN2" i="50" s="1"/>
  <c r="AP2" i="50" s="1"/>
  <c r="AR2" i="50" s="1"/>
  <c r="AT2" i="50" s="1"/>
  <c r="AV2" i="50" s="1"/>
  <c r="AX2" i="50" s="1"/>
  <c r="AZ2" i="50" s="1"/>
  <c r="BB2" i="50" s="1"/>
  <c r="BD2" i="50" s="1"/>
  <c r="BF2" i="50" s="1"/>
  <c r="BH2" i="50" s="1"/>
  <c r="BJ2" i="50" s="1"/>
  <c r="BL2" i="50" s="1"/>
  <c r="BN2" i="50" s="1"/>
  <c r="BP2" i="50" s="1"/>
  <c r="BR2" i="50" s="1"/>
  <c r="BT2" i="50" s="1"/>
  <c r="BV2" i="50" s="1"/>
  <c r="BX2" i="50" s="1"/>
  <c r="BZ2" i="50" s="1"/>
  <c r="CB2" i="50" s="1"/>
  <c r="CD2" i="50" s="1"/>
  <c r="CF2" i="50" s="1"/>
  <c r="CH2" i="50" s="1"/>
  <c r="CJ2" i="50" s="1"/>
  <c r="CL2" i="50" s="1"/>
  <c r="CN2" i="50" s="1"/>
  <c r="CP2" i="50" s="1"/>
  <c r="CR2" i="50" s="1"/>
  <c r="CT2" i="50" s="1"/>
  <c r="CV2" i="50" s="1"/>
  <c r="CX2" i="50" s="1"/>
  <c r="CZ2" i="50" s="1"/>
  <c r="DB2" i="50" s="1"/>
  <c r="DD2" i="50" s="1"/>
  <c r="DF2" i="50" s="1"/>
  <c r="DH2" i="50" s="1"/>
  <c r="DJ2" i="50" s="1"/>
  <c r="L5" i="49"/>
  <c r="L6" i="49"/>
  <c r="L7" i="49"/>
  <c r="M7" i="49" s="1"/>
  <c r="L8" i="49"/>
  <c r="L9" i="49"/>
  <c r="L10" i="49"/>
  <c r="L11" i="49"/>
  <c r="M11" i="49" s="1"/>
  <c r="L12" i="49"/>
  <c r="L13" i="49"/>
  <c r="L14" i="49"/>
  <c r="L15" i="49"/>
  <c r="L16" i="49"/>
  <c r="L17" i="49"/>
  <c r="L18" i="49"/>
  <c r="L19" i="49"/>
  <c r="L20" i="49"/>
  <c r="L21" i="49"/>
  <c r="L22" i="49"/>
  <c r="L23" i="49"/>
  <c r="L24" i="49"/>
  <c r="L25" i="49"/>
  <c r="L26" i="49"/>
  <c r="L27" i="49"/>
  <c r="M27" i="49" s="1"/>
  <c r="L4" i="49"/>
  <c r="I27" i="49" a="1"/>
  <c r="I27" i="49" s="1"/>
  <c r="H27" i="49"/>
  <c r="J27" i="49" s="1"/>
  <c r="I26" i="49" a="1"/>
  <c r="I26" i="49" s="1"/>
  <c r="H26" i="49"/>
  <c r="J26" i="49" s="1"/>
  <c r="I25" i="49" a="1"/>
  <c r="I25" i="49" s="1"/>
  <c r="H25" i="49"/>
  <c r="J25" i="49" s="1"/>
  <c r="I24" i="49" a="1"/>
  <c r="I24" i="49" s="1"/>
  <c r="H24" i="49"/>
  <c r="M23" i="49"/>
  <c r="I23" i="49" a="1"/>
  <c r="I23" i="49" s="1"/>
  <c r="H23" i="49"/>
  <c r="J23" i="49" s="1"/>
  <c r="I22" i="49" a="1"/>
  <c r="I22" i="49" s="1"/>
  <c r="H22" i="49"/>
  <c r="J22" i="49" s="1"/>
  <c r="I21" i="49" a="1"/>
  <c r="I21" i="49" s="1"/>
  <c r="H21" i="49"/>
  <c r="J21" i="49" s="1"/>
  <c r="I20" i="49" a="1"/>
  <c r="I20" i="49" s="1"/>
  <c r="H20" i="49"/>
  <c r="J20" i="49" s="1"/>
  <c r="M19" i="49"/>
  <c r="I19" i="49" a="1"/>
  <c r="I19" i="49" s="1"/>
  <c r="H19" i="49"/>
  <c r="J19" i="49" s="1"/>
  <c r="I18" i="49" a="1"/>
  <c r="I18" i="49" s="1"/>
  <c r="H18" i="49"/>
  <c r="J18" i="49" s="1"/>
  <c r="I17" i="49" a="1"/>
  <c r="I17" i="49" s="1"/>
  <c r="H17" i="49"/>
  <c r="J17" i="49" s="1"/>
  <c r="I16" i="49" a="1"/>
  <c r="I16" i="49" s="1"/>
  <c r="H16" i="49"/>
  <c r="J16" i="49" s="1"/>
  <c r="M15" i="49"/>
  <c r="I15" i="49" a="1"/>
  <c r="I15" i="49" s="1"/>
  <c r="H15" i="49"/>
  <c r="J15" i="49" s="1"/>
  <c r="I14" i="49" a="1"/>
  <c r="I14" i="49" s="1"/>
  <c r="H14" i="49"/>
  <c r="J14" i="49" s="1"/>
  <c r="I13" i="49" a="1"/>
  <c r="I13" i="49" s="1"/>
  <c r="H13" i="49"/>
  <c r="J13" i="49" s="1"/>
  <c r="I12" i="49" a="1"/>
  <c r="I12" i="49" s="1"/>
  <c r="H12" i="49"/>
  <c r="J12" i="49" s="1"/>
  <c r="I11" i="49" a="1"/>
  <c r="I11" i="49" s="1"/>
  <c r="H11" i="49"/>
  <c r="J11" i="49" s="1"/>
  <c r="I10" i="49" a="1"/>
  <c r="I10" i="49" s="1"/>
  <c r="H10" i="49"/>
  <c r="J10" i="49" s="1"/>
  <c r="I9" i="49" a="1"/>
  <c r="I9" i="49" s="1"/>
  <c r="H9" i="49"/>
  <c r="J9" i="49" s="1"/>
  <c r="I8" i="49" a="1"/>
  <c r="I8" i="49" s="1"/>
  <c r="H8" i="49"/>
  <c r="J8" i="49" s="1"/>
  <c r="I7" i="49" a="1"/>
  <c r="I7" i="49" s="1"/>
  <c r="H7" i="49"/>
  <c r="J7" i="49" s="1"/>
  <c r="I6" i="49" a="1"/>
  <c r="I6" i="49" s="1"/>
  <c r="H6" i="49"/>
  <c r="J6" i="49" s="1"/>
  <c r="I5" i="49" a="1"/>
  <c r="I5" i="49" s="1"/>
  <c r="H5" i="49"/>
  <c r="J5" i="49" s="1"/>
  <c r="I4" i="49" a="1"/>
  <c r="I4" i="49" s="1"/>
  <c r="H4" i="49"/>
  <c r="J4" i="49" s="1"/>
  <c r="Q2" i="49"/>
  <c r="S2" i="49" s="1"/>
  <c r="U2" i="49" s="1"/>
  <c r="W2" i="49" s="1"/>
  <c r="Y2" i="49" s="1"/>
  <c r="AA2" i="49" s="1"/>
  <c r="AC2" i="49" s="1"/>
  <c r="AE2" i="49" s="1"/>
  <c r="AG2" i="49" s="1"/>
  <c r="AI2" i="49" s="1"/>
  <c r="AK2" i="49" s="1"/>
  <c r="AM2" i="49" s="1"/>
  <c r="AO2" i="49" s="1"/>
  <c r="AQ2" i="49" s="1"/>
  <c r="AS2" i="49" s="1"/>
  <c r="AU2" i="49" s="1"/>
  <c r="AW2" i="49" s="1"/>
  <c r="AY2" i="49" s="1"/>
  <c r="BA2" i="49" s="1"/>
  <c r="BC2" i="49" s="1"/>
  <c r="BE2" i="49" s="1"/>
  <c r="BG2" i="49" s="1"/>
  <c r="BI2" i="49" s="1"/>
  <c r="BK2" i="49" s="1"/>
  <c r="BM2" i="49" s="1"/>
  <c r="BO2" i="49" s="1"/>
  <c r="BQ2" i="49" s="1"/>
  <c r="BS2" i="49" s="1"/>
  <c r="BU2" i="49" s="1"/>
  <c r="BW2" i="49" s="1"/>
  <c r="BY2" i="49" s="1"/>
  <c r="CA2" i="49" s="1"/>
  <c r="CC2" i="49" s="1"/>
  <c r="CE2" i="49" s="1"/>
  <c r="CG2" i="49" s="1"/>
  <c r="CI2" i="49" s="1"/>
  <c r="CK2" i="49" s="1"/>
  <c r="CM2" i="49" s="1"/>
  <c r="CO2" i="49" s="1"/>
  <c r="CQ2" i="49" s="1"/>
  <c r="CS2" i="49" s="1"/>
  <c r="CU2" i="49" s="1"/>
  <c r="CW2" i="49" s="1"/>
  <c r="CY2" i="49" s="1"/>
  <c r="DA2" i="49" s="1"/>
  <c r="DC2" i="49" s="1"/>
  <c r="DE2" i="49" s="1"/>
  <c r="DG2" i="49" s="1"/>
  <c r="DI2" i="49" s="1"/>
  <c r="DK2" i="49" s="1"/>
  <c r="I5" i="41"/>
  <c r="I6" i="41"/>
  <c r="I7" i="41"/>
  <c r="I8" i="41"/>
  <c r="I9" i="41"/>
  <c r="I10" i="41"/>
  <c r="I11" i="41"/>
  <c r="I12" i="41"/>
  <c r="I13" i="41"/>
  <c r="I14" i="41"/>
  <c r="I15" i="41"/>
  <c r="I16" i="41"/>
  <c r="I17" i="41"/>
  <c r="I18" i="41"/>
  <c r="I19" i="41"/>
  <c r="J19" i="41" s="1"/>
  <c r="I20" i="41"/>
  <c r="I21" i="41"/>
  <c r="J21" i="41" s="1"/>
  <c r="I22" i="41"/>
  <c r="I23" i="41"/>
  <c r="I24" i="41"/>
  <c r="I25" i="41"/>
  <c r="I26" i="41"/>
  <c r="I4" i="41"/>
  <c r="F26" i="41" a="1"/>
  <c r="F26" i="41" s="1"/>
  <c r="E26" i="41"/>
  <c r="G26" i="41" s="1"/>
  <c r="F25" i="41" a="1"/>
  <c r="F25" i="41" s="1"/>
  <c r="E25" i="41"/>
  <c r="G25" i="41" s="1"/>
  <c r="F24" i="41" a="1"/>
  <c r="F24" i="41" s="1"/>
  <c r="E24" i="41"/>
  <c r="G24" i="41" s="1"/>
  <c r="F23" i="41" a="1"/>
  <c r="F23" i="41" s="1"/>
  <c r="E23" i="41"/>
  <c r="G23" i="41" s="1"/>
  <c r="F22" i="41" a="1"/>
  <c r="F22" i="41" s="1"/>
  <c r="J22" i="41" s="1"/>
  <c r="E22" i="41"/>
  <c r="F21" i="41"/>
  <c r="G21" i="41" s="1"/>
  <c r="F21" i="41" a="1"/>
  <c r="E21" i="41"/>
  <c r="F20" i="41" a="1"/>
  <c r="F20" i="41" s="1"/>
  <c r="G20" i="41" s="1"/>
  <c r="E20" i="41"/>
  <c r="F19" i="41" a="1"/>
  <c r="F19" i="41" s="1"/>
  <c r="E19" i="41"/>
  <c r="G19" i="41" s="1"/>
  <c r="F18" i="41" a="1"/>
  <c r="F18" i="41" s="1"/>
  <c r="G18" i="41" s="1"/>
  <c r="E18" i="41"/>
  <c r="J17" i="41"/>
  <c r="F17" i="41" a="1"/>
  <c r="F17" i="41" s="1"/>
  <c r="E17" i="41"/>
  <c r="G17" i="41" s="1"/>
  <c r="F16" i="41" a="1"/>
  <c r="F16" i="41" s="1"/>
  <c r="E16" i="41"/>
  <c r="F15" i="41" a="1"/>
  <c r="F15" i="41" s="1"/>
  <c r="E15" i="41"/>
  <c r="G15" i="41" s="1"/>
  <c r="F14" i="41" a="1"/>
  <c r="F14" i="41" s="1"/>
  <c r="E14" i="41"/>
  <c r="J13" i="41"/>
  <c r="F13" i="41" a="1"/>
  <c r="F13" i="41" s="1"/>
  <c r="E13" i="41"/>
  <c r="G13" i="41" s="1"/>
  <c r="F12" i="41" a="1"/>
  <c r="F12" i="41" s="1"/>
  <c r="E12" i="41"/>
  <c r="F11" i="41" a="1"/>
  <c r="F11" i="41" s="1"/>
  <c r="E11" i="41"/>
  <c r="G11" i="41" s="1"/>
  <c r="F10" i="41" a="1"/>
  <c r="F10" i="41" s="1"/>
  <c r="E10" i="41"/>
  <c r="J9" i="41"/>
  <c r="F9" i="41" a="1"/>
  <c r="F9" i="41" s="1"/>
  <c r="E9" i="41"/>
  <c r="G9" i="41" s="1"/>
  <c r="F8" i="41" a="1"/>
  <c r="F8" i="41" s="1"/>
  <c r="J8" i="41" s="1"/>
  <c r="E8" i="41"/>
  <c r="G8" i="41" s="1"/>
  <c r="F7" i="41" a="1"/>
  <c r="F7" i="41" s="1"/>
  <c r="E7" i="41"/>
  <c r="G7" i="41" s="1"/>
  <c r="F6" i="41" a="1"/>
  <c r="F6" i="41" s="1"/>
  <c r="J6" i="41" s="1"/>
  <c r="E6" i="41"/>
  <c r="G6" i="41" s="1"/>
  <c r="J5" i="41"/>
  <c r="F5" i="41" a="1"/>
  <c r="F5" i="41" s="1"/>
  <c r="E5" i="41"/>
  <c r="G5" i="41" s="1"/>
  <c r="F4" i="41" a="1"/>
  <c r="F4" i="41" s="1"/>
  <c r="E4" i="41"/>
  <c r="G4" i="41" s="1"/>
  <c r="T2" i="41"/>
  <c r="V2" i="41" s="1"/>
  <c r="X2" i="41" s="1"/>
  <c r="Z2" i="41" s="1"/>
  <c r="AB2" i="41" s="1"/>
  <c r="AD2" i="41" s="1"/>
  <c r="AF2" i="41" s="1"/>
  <c r="AH2" i="41" s="1"/>
  <c r="AJ2" i="41" s="1"/>
  <c r="AL2" i="41" s="1"/>
  <c r="AN2" i="41" s="1"/>
  <c r="AP2" i="41" s="1"/>
  <c r="AR2" i="41" s="1"/>
  <c r="AT2" i="41" s="1"/>
  <c r="AV2" i="41" s="1"/>
  <c r="AX2" i="41" s="1"/>
  <c r="AZ2" i="41" s="1"/>
  <c r="BB2" i="41" s="1"/>
  <c r="BD2" i="41" s="1"/>
  <c r="BF2" i="41" s="1"/>
  <c r="BH2" i="41" s="1"/>
  <c r="BJ2" i="41" s="1"/>
  <c r="BL2" i="41" s="1"/>
  <c r="BN2" i="41" s="1"/>
  <c r="BP2" i="41" s="1"/>
  <c r="BR2" i="41" s="1"/>
  <c r="BT2" i="41" s="1"/>
  <c r="BV2" i="41" s="1"/>
  <c r="BX2" i="41" s="1"/>
  <c r="BZ2" i="41" s="1"/>
  <c r="CB2" i="41" s="1"/>
  <c r="CD2" i="41" s="1"/>
  <c r="CF2" i="41" s="1"/>
  <c r="CH2" i="41" s="1"/>
  <c r="CJ2" i="41" s="1"/>
  <c r="CL2" i="41" s="1"/>
  <c r="CN2" i="41" s="1"/>
  <c r="CP2" i="41" s="1"/>
  <c r="CR2" i="41" s="1"/>
  <c r="CT2" i="41" s="1"/>
  <c r="CV2" i="41" s="1"/>
  <c r="CX2" i="41" s="1"/>
  <c r="CZ2" i="41" s="1"/>
  <c r="DB2" i="41" s="1"/>
  <c r="DD2" i="41" s="1"/>
  <c r="DF2" i="41" s="1"/>
  <c r="DH2" i="41" s="1"/>
  <c r="R2" i="41"/>
  <c r="P2" i="41"/>
  <c r="N2" i="41"/>
  <c r="L5" i="48"/>
  <c r="L6" i="48"/>
  <c r="L7" i="48"/>
  <c r="L8" i="48"/>
  <c r="L9" i="48"/>
  <c r="L10" i="48"/>
  <c r="L11" i="48"/>
  <c r="L12" i="48"/>
  <c r="L13" i="48"/>
  <c r="M13" i="48" s="1"/>
  <c r="L14" i="48"/>
  <c r="M14" i="48" s="1"/>
  <c r="L15" i="48"/>
  <c r="M15" i="48" s="1"/>
  <c r="L16" i="48"/>
  <c r="M16" i="48" s="1"/>
  <c r="L17" i="48"/>
  <c r="M17" i="48" s="1"/>
  <c r="L18" i="48"/>
  <c r="M18" i="48" s="1"/>
  <c r="L19" i="48"/>
  <c r="M19" i="48" s="1"/>
  <c r="L20" i="48"/>
  <c r="M20" i="48" s="1"/>
  <c r="L21" i="48"/>
  <c r="L22" i="48"/>
  <c r="L23" i="48"/>
  <c r="L24" i="48"/>
  <c r="L25" i="48"/>
  <c r="L26" i="48"/>
  <c r="L27" i="48"/>
  <c r="L4" i="48"/>
  <c r="M4" i="48" s="1"/>
  <c r="M5" i="48"/>
  <c r="M6" i="48"/>
  <c r="M7" i="48"/>
  <c r="M8" i="48"/>
  <c r="M9" i="48"/>
  <c r="M10" i="48"/>
  <c r="M11" i="48"/>
  <c r="M12" i="48"/>
  <c r="M21" i="48"/>
  <c r="M22" i="48"/>
  <c r="M23" i="48"/>
  <c r="M24" i="48"/>
  <c r="M25" i="48"/>
  <c r="M26" i="48"/>
  <c r="M27" i="48"/>
  <c r="I27" i="48" a="1"/>
  <c r="I27" i="48" s="1"/>
  <c r="H27" i="48"/>
  <c r="I26" i="48" a="1"/>
  <c r="I26" i="48" s="1"/>
  <c r="H26" i="48"/>
  <c r="I25" i="48" a="1"/>
  <c r="I25" i="48" s="1"/>
  <c r="H25" i="48"/>
  <c r="J25" i="48" s="1"/>
  <c r="I24" i="48" a="1"/>
  <c r="I24" i="48" s="1"/>
  <c r="H24" i="48"/>
  <c r="J24" i="48" s="1"/>
  <c r="I23" i="48" a="1"/>
  <c r="I23" i="48" s="1"/>
  <c r="H23" i="48"/>
  <c r="J23" i="48" s="1"/>
  <c r="I22" i="48" a="1"/>
  <c r="I22" i="48" s="1"/>
  <c r="H22" i="48"/>
  <c r="I21" i="48" a="1"/>
  <c r="I21" i="48" s="1"/>
  <c r="H21" i="48"/>
  <c r="J21" i="48" s="1"/>
  <c r="I20" i="48" a="1"/>
  <c r="I20" i="48" s="1"/>
  <c r="H20" i="48"/>
  <c r="I19" i="48" a="1"/>
  <c r="I19" i="48" s="1"/>
  <c r="H19" i="48"/>
  <c r="I18" i="48" a="1"/>
  <c r="I18" i="48" s="1"/>
  <c r="H18" i="48"/>
  <c r="I17" i="48" a="1"/>
  <c r="I17" i="48" s="1"/>
  <c r="H17" i="48"/>
  <c r="I16" i="48" a="1"/>
  <c r="I16" i="48" s="1"/>
  <c r="H16" i="48"/>
  <c r="J16" i="48" s="1"/>
  <c r="I15" i="48" a="1"/>
  <c r="I15" i="48" s="1"/>
  <c r="H15" i="48"/>
  <c r="I14" i="48" a="1"/>
  <c r="I14" i="48" s="1"/>
  <c r="H14" i="48"/>
  <c r="I13" i="48" a="1"/>
  <c r="I13" i="48" s="1"/>
  <c r="H13" i="48"/>
  <c r="J13" i="48" s="1"/>
  <c r="I12" i="48" a="1"/>
  <c r="I12" i="48" s="1"/>
  <c r="H12" i="48"/>
  <c r="I11" i="48" a="1"/>
  <c r="I11" i="48" s="1"/>
  <c r="H11" i="48"/>
  <c r="I10" i="48" a="1"/>
  <c r="I10" i="48" s="1"/>
  <c r="H10" i="48"/>
  <c r="I9" i="48" a="1"/>
  <c r="I9" i="48" s="1"/>
  <c r="H9" i="48"/>
  <c r="J9" i="48" s="1"/>
  <c r="I8" i="48" a="1"/>
  <c r="I8" i="48" s="1"/>
  <c r="H8" i="48"/>
  <c r="I7" i="48" a="1"/>
  <c r="I7" i="48" s="1"/>
  <c r="H7" i="48"/>
  <c r="I6" i="48" a="1"/>
  <c r="I6" i="48" s="1"/>
  <c r="H6" i="48"/>
  <c r="I5" i="48" a="1"/>
  <c r="I5" i="48" s="1"/>
  <c r="H5" i="48"/>
  <c r="J5" i="48" s="1"/>
  <c r="I4" i="48" a="1"/>
  <c r="I4" i="48" s="1"/>
  <c r="H4" i="48"/>
  <c r="Q2" i="48"/>
  <c r="S2" i="48" s="1"/>
  <c r="U2" i="48" s="1"/>
  <c r="W2" i="48" s="1"/>
  <c r="Y2" i="48" s="1"/>
  <c r="AA2" i="48" s="1"/>
  <c r="AC2" i="48" s="1"/>
  <c r="AE2" i="48" s="1"/>
  <c r="AG2" i="48" s="1"/>
  <c r="AI2" i="48" s="1"/>
  <c r="AK2" i="48" s="1"/>
  <c r="AM2" i="48" s="1"/>
  <c r="AO2" i="48" s="1"/>
  <c r="AQ2" i="48" s="1"/>
  <c r="AS2" i="48" s="1"/>
  <c r="AU2" i="48" s="1"/>
  <c r="AW2" i="48" s="1"/>
  <c r="AY2" i="48" s="1"/>
  <c r="BA2" i="48" s="1"/>
  <c r="BC2" i="48" s="1"/>
  <c r="BE2" i="48" s="1"/>
  <c r="BG2" i="48" s="1"/>
  <c r="BI2" i="48" s="1"/>
  <c r="BK2" i="48" s="1"/>
  <c r="BM2" i="48" s="1"/>
  <c r="BO2" i="48" s="1"/>
  <c r="BQ2" i="48" s="1"/>
  <c r="BS2" i="48" s="1"/>
  <c r="BU2" i="48" s="1"/>
  <c r="BW2" i="48" s="1"/>
  <c r="BY2" i="48" s="1"/>
  <c r="CA2" i="48" s="1"/>
  <c r="CC2" i="48" s="1"/>
  <c r="CE2" i="48" s="1"/>
  <c r="CG2" i="48" s="1"/>
  <c r="CI2" i="48" s="1"/>
  <c r="CK2" i="48" s="1"/>
  <c r="CM2" i="48" s="1"/>
  <c r="CO2" i="48" s="1"/>
  <c r="CQ2" i="48" s="1"/>
  <c r="CS2" i="48" s="1"/>
  <c r="CU2" i="48" s="1"/>
  <c r="CW2" i="48" s="1"/>
  <c r="CY2" i="48" s="1"/>
  <c r="DA2" i="48" s="1"/>
  <c r="DC2" i="48" s="1"/>
  <c r="DE2" i="48" s="1"/>
  <c r="DG2" i="48" s="1"/>
  <c r="DI2" i="48" s="1"/>
  <c r="DK2" i="48" s="1"/>
  <c r="I5" i="47"/>
  <c r="I6" i="47"/>
  <c r="I7" i="47"/>
  <c r="I8" i="47"/>
  <c r="I9" i="47"/>
  <c r="I10" i="47"/>
  <c r="I11" i="47"/>
  <c r="I12" i="47"/>
  <c r="I13" i="47"/>
  <c r="I14" i="47"/>
  <c r="I15" i="47"/>
  <c r="I16" i="47"/>
  <c r="I17" i="47"/>
  <c r="I18" i="47"/>
  <c r="I19" i="47"/>
  <c r="J19" i="47" s="1"/>
  <c r="I20" i="47"/>
  <c r="I21" i="47"/>
  <c r="I22" i="47"/>
  <c r="I23" i="47"/>
  <c r="I24" i="47"/>
  <c r="I25" i="47"/>
  <c r="I26" i="47"/>
  <c r="I4" i="47"/>
  <c r="F26" i="47" a="1"/>
  <c r="F26" i="47" s="1"/>
  <c r="E26" i="47"/>
  <c r="F25" i="47" a="1"/>
  <c r="F25" i="47" s="1"/>
  <c r="E25" i="47"/>
  <c r="F24" i="47" a="1"/>
  <c r="F24" i="47" s="1"/>
  <c r="J24" i="47" s="1"/>
  <c r="E24" i="47"/>
  <c r="G24" i="47" s="1"/>
  <c r="F23" i="47" a="1"/>
  <c r="F23" i="47" s="1"/>
  <c r="E23" i="47"/>
  <c r="G23" i="47" s="1"/>
  <c r="J22" i="47"/>
  <c r="F22" i="47" a="1"/>
  <c r="F22" i="47" s="1"/>
  <c r="G22" i="47" s="1"/>
  <c r="E22" i="47"/>
  <c r="F21" i="47" a="1"/>
  <c r="F21" i="47" s="1"/>
  <c r="E21" i="47"/>
  <c r="G21" i="47" s="1"/>
  <c r="F20" i="47" a="1"/>
  <c r="F20" i="47" s="1"/>
  <c r="G20" i="47" s="1"/>
  <c r="E20" i="47"/>
  <c r="F19" i="47" a="1"/>
  <c r="F19" i="47" s="1"/>
  <c r="E19" i="47"/>
  <c r="G19" i="47" s="1"/>
  <c r="F18" i="47" a="1"/>
  <c r="F18" i="47" s="1"/>
  <c r="E18" i="47"/>
  <c r="G18" i="47" s="1"/>
  <c r="F17" i="47" a="1"/>
  <c r="F17" i="47" s="1"/>
  <c r="E17" i="47"/>
  <c r="G17" i="47" s="1"/>
  <c r="F16" i="47"/>
  <c r="G16" i="47" s="1"/>
  <c r="F16" i="47" a="1"/>
  <c r="E16" i="47"/>
  <c r="F15" i="47" a="1"/>
  <c r="F15" i="47" s="1"/>
  <c r="E15" i="47"/>
  <c r="G15" i="47" s="1"/>
  <c r="F14" i="47" a="1"/>
  <c r="F14" i="47" s="1"/>
  <c r="E14" i="47"/>
  <c r="G14" i="47" s="1"/>
  <c r="J13" i="47"/>
  <c r="F13" i="47" a="1"/>
  <c r="F13" i="47" s="1"/>
  <c r="E13" i="47"/>
  <c r="F12" i="47" a="1"/>
  <c r="F12" i="47" s="1"/>
  <c r="E12" i="47"/>
  <c r="G12" i="47" s="1"/>
  <c r="F11" i="47" a="1"/>
  <c r="F11" i="47" s="1"/>
  <c r="E11" i="47"/>
  <c r="G11" i="47" s="1"/>
  <c r="F10" i="47" a="1"/>
  <c r="F10" i="47" s="1"/>
  <c r="G10" i="47" s="1"/>
  <c r="E10" i="47"/>
  <c r="F9" i="47" a="1"/>
  <c r="F9" i="47" s="1"/>
  <c r="E9" i="47"/>
  <c r="G9" i="47" s="1"/>
  <c r="F8" i="47" a="1"/>
  <c r="F8" i="47" s="1"/>
  <c r="E8" i="47"/>
  <c r="G8" i="47" s="1"/>
  <c r="J7" i="47"/>
  <c r="F7" i="47" a="1"/>
  <c r="F7" i="47" s="1"/>
  <c r="E7" i="47"/>
  <c r="G7" i="47" s="1"/>
  <c r="F6" i="47" a="1"/>
  <c r="F6" i="47" s="1"/>
  <c r="E6" i="47"/>
  <c r="G6" i="47" s="1"/>
  <c r="F5" i="47" a="1"/>
  <c r="F5" i="47" s="1"/>
  <c r="E5" i="47"/>
  <c r="G5" i="47" s="1"/>
  <c r="F4" i="47" a="1"/>
  <c r="F4" i="47" s="1"/>
  <c r="E4" i="47"/>
  <c r="G4" i="47" s="1"/>
  <c r="P2" i="47"/>
  <c r="R2" i="47" s="1"/>
  <c r="T2" i="47" s="1"/>
  <c r="V2" i="47" s="1"/>
  <c r="X2" i="47" s="1"/>
  <c r="Z2" i="47" s="1"/>
  <c r="AB2" i="47" s="1"/>
  <c r="AD2" i="47" s="1"/>
  <c r="AF2" i="47" s="1"/>
  <c r="AH2" i="47" s="1"/>
  <c r="AJ2" i="47" s="1"/>
  <c r="AL2" i="47" s="1"/>
  <c r="AN2" i="47" s="1"/>
  <c r="AP2" i="47" s="1"/>
  <c r="AR2" i="47" s="1"/>
  <c r="AT2" i="47" s="1"/>
  <c r="AV2" i="47" s="1"/>
  <c r="AX2" i="47" s="1"/>
  <c r="AZ2" i="47" s="1"/>
  <c r="BB2" i="47" s="1"/>
  <c r="BD2" i="47" s="1"/>
  <c r="BF2" i="47" s="1"/>
  <c r="BH2" i="47" s="1"/>
  <c r="BJ2" i="47" s="1"/>
  <c r="BL2" i="47" s="1"/>
  <c r="BN2" i="47" s="1"/>
  <c r="BP2" i="47" s="1"/>
  <c r="BR2" i="47" s="1"/>
  <c r="BT2" i="47" s="1"/>
  <c r="BV2" i="47" s="1"/>
  <c r="BX2" i="47" s="1"/>
  <c r="BZ2" i="47" s="1"/>
  <c r="CB2" i="47" s="1"/>
  <c r="CD2" i="47" s="1"/>
  <c r="CF2" i="47" s="1"/>
  <c r="CH2" i="47" s="1"/>
  <c r="CJ2" i="47" s="1"/>
  <c r="CL2" i="47" s="1"/>
  <c r="CN2" i="47" s="1"/>
  <c r="CP2" i="47" s="1"/>
  <c r="CR2" i="47" s="1"/>
  <c r="CT2" i="47" s="1"/>
  <c r="CV2" i="47" s="1"/>
  <c r="CX2" i="47" s="1"/>
  <c r="CZ2" i="47" s="1"/>
  <c r="DB2" i="47" s="1"/>
  <c r="DD2" i="47" s="1"/>
  <c r="DF2" i="47" s="1"/>
  <c r="DH2" i="47" s="1"/>
  <c r="N2" i="47"/>
  <c r="J5" i="39"/>
  <c r="J6" i="39"/>
  <c r="J7" i="39"/>
  <c r="J8" i="39"/>
  <c r="J9" i="39"/>
  <c r="J10" i="39"/>
  <c r="J11" i="39"/>
  <c r="J12" i="39"/>
  <c r="J13" i="39"/>
  <c r="J14" i="39"/>
  <c r="J15" i="39"/>
  <c r="J16" i="39"/>
  <c r="J17" i="39"/>
  <c r="J18" i="39"/>
  <c r="J19" i="39"/>
  <c r="J20" i="39"/>
  <c r="J21" i="39"/>
  <c r="J22" i="39"/>
  <c r="J23" i="39"/>
  <c r="J24" i="39"/>
  <c r="J25" i="39"/>
  <c r="J26" i="39"/>
  <c r="J4" i="39"/>
  <c r="I5" i="39"/>
  <c r="I6" i="39"/>
  <c r="I7" i="39"/>
  <c r="I8" i="39"/>
  <c r="I9" i="39"/>
  <c r="I10" i="39"/>
  <c r="I11" i="39"/>
  <c r="I12" i="39"/>
  <c r="I13" i="39"/>
  <c r="I14" i="39"/>
  <c r="I15" i="39"/>
  <c r="I16" i="39"/>
  <c r="I17" i="39"/>
  <c r="I18" i="39"/>
  <c r="I19" i="39"/>
  <c r="I20" i="39"/>
  <c r="I21" i="39"/>
  <c r="I22" i="39"/>
  <c r="I23" i="39"/>
  <c r="I24" i="39"/>
  <c r="I25" i="39"/>
  <c r="I26" i="39"/>
  <c r="I4" i="39"/>
  <c r="I5" i="33"/>
  <c r="I6" i="33"/>
  <c r="I7" i="33"/>
  <c r="J7" i="33" s="1"/>
  <c r="I8" i="33"/>
  <c r="J8" i="33" s="1"/>
  <c r="I9" i="33"/>
  <c r="J9" i="33" s="1"/>
  <c r="I10" i="33"/>
  <c r="J10" i="33" s="1"/>
  <c r="I11" i="33"/>
  <c r="J11" i="33" s="1"/>
  <c r="I12" i="33"/>
  <c r="I13" i="33"/>
  <c r="I14" i="33"/>
  <c r="I15" i="33"/>
  <c r="I16" i="33"/>
  <c r="I17" i="33"/>
  <c r="I18" i="33"/>
  <c r="I19" i="33"/>
  <c r="I20" i="33"/>
  <c r="I21" i="33"/>
  <c r="I22" i="33"/>
  <c r="I23" i="33"/>
  <c r="J23" i="33" s="1"/>
  <c r="I24" i="33"/>
  <c r="J24" i="33" s="1"/>
  <c r="I25" i="33"/>
  <c r="J25" i="33" s="1"/>
  <c r="I26" i="33"/>
  <c r="J26" i="33" s="1"/>
  <c r="I4" i="33"/>
  <c r="J5" i="37"/>
  <c r="J6" i="37"/>
  <c r="J7" i="37"/>
  <c r="J8" i="37"/>
  <c r="J9" i="37"/>
  <c r="J10" i="37"/>
  <c r="J11" i="37"/>
  <c r="J12" i="37"/>
  <c r="J13" i="37"/>
  <c r="J14" i="37"/>
  <c r="J15" i="37"/>
  <c r="J16" i="37"/>
  <c r="J17" i="37"/>
  <c r="J18" i="37"/>
  <c r="J19" i="37"/>
  <c r="J20" i="37"/>
  <c r="J21" i="37"/>
  <c r="J22" i="37"/>
  <c r="J23" i="37"/>
  <c r="J24" i="37"/>
  <c r="J25" i="37"/>
  <c r="J26" i="37"/>
  <c r="J4" i="37"/>
  <c r="I5" i="37"/>
  <c r="I6" i="37"/>
  <c r="I7" i="37"/>
  <c r="I8" i="37"/>
  <c r="I9" i="37"/>
  <c r="I10" i="37"/>
  <c r="I11" i="37"/>
  <c r="I12" i="37"/>
  <c r="I13" i="37"/>
  <c r="I14" i="37"/>
  <c r="I15" i="37"/>
  <c r="I16" i="37"/>
  <c r="I17" i="37"/>
  <c r="I18" i="37"/>
  <c r="I19" i="37"/>
  <c r="I20" i="37"/>
  <c r="I21" i="37"/>
  <c r="I22" i="37"/>
  <c r="I23" i="37"/>
  <c r="I24" i="37"/>
  <c r="I25" i="37"/>
  <c r="I26" i="37"/>
  <c r="I4" i="37"/>
  <c r="J5" i="33"/>
  <c r="J6" i="33"/>
  <c r="J12" i="33"/>
  <c r="J13" i="33"/>
  <c r="J14" i="33"/>
  <c r="J15" i="33"/>
  <c r="J16" i="33"/>
  <c r="J17" i="33"/>
  <c r="J18" i="33"/>
  <c r="J19" i="33"/>
  <c r="J20" i="33"/>
  <c r="J21" i="33"/>
  <c r="J22" i="33"/>
  <c r="E5" i="37"/>
  <c r="E6" i="37"/>
  <c r="E7" i="37"/>
  <c r="E8" i="37"/>
  <c r="E9" i="37"/>
  <c r="E10" i="37"/>
  <c r="E11" i="37"/>
  <c r="E12" i="37"/>
  <c r="E13" i="37"/>
  <c r="E14" i="37"/>
  <c r="E15" i="37"/>
  <c r="E16" i="37"/>
  <c r="E17" i="37"/>
  <c r="E18" i="37"/>
  <c r="E19" i="37"/>
  <c r="E20" i="37"/>
  <c r="E21" i="37"/>
  <c r="E22" i="37"/>
  <c r="E23" i="37"/>
  <c r="E24" i="37"/>
  <c r="E25" i="37"/>
  <c r="E26" i="37"/>
  <c r="E4" i="37"/>
  <c r="H5" i="36"/>
  <c r="H6" i="36"/>
  <c r="H7" i="36"/>
  <c r="H8" i="36"/>
  <c r="H9" i="36"/>
  <c r="H10" i="36"/>
  <c r="H11" i="36"/>
  <c r="H12" i="36"/>
  <c r="H13" i="36"/>
  <c r="H14" i="36"/>
  <c r="H15" i="36"/>
  <c r="H16" i="36"/>
  <c r="H17" i="36"/>
  <c r="H18" i="36"/>
  <c r="H19" i="36"/>
  <c r="H20" i="36"/>
  <c r="H21" i="36"/>
  <c r="H22" i="36"/>
  <c r="H23" i="36"/>
  <c r="H24" i="36"/>
  <c r="H25" i="36"/>
  <c r="H26" i="36"/>
  <c r="H27" i="36"/>
  <c r="H4" i="36"/>
  <c r="E5" i="33"/>
  <c r="E6" i="33"/>
  <c r="E7" i="33"/>
  <c r="E8" i="33"/>
  <c r="E9" i="33"/>
  <c r="E10" i="33"/>
  <c r="E11" i="33"/>
  <c r="E12" i="33"/>
  <c r="E13" i="33"/>
  <c r="E14" i="33"/>
  <c r="E15" i="33"/>
  <c r="E16" i="33"/>
  <c r="E17" i="33"/>
  <c r="E18" i="33"/>
  <c r="E19" i="33"/>
  <c r="E20" i="33"/>
  <c r="E21" i="33"/>
  <c r="E22" i="33"/>
  <c r="E23" i="33"/>
  <c r="E24" i="33"/>
  <c r="E25" i="33"/>
  <c r="E26" i="33"/>
  <c r="E4" i="33"/>
  <c r="E5" i="46"/>
  <c r="E6" i="46"/>
  <c r="E7" i="46"/>
  <c r="E8" i="46"/>
  <c r="E9" i="46"/>
  <c r="E10" i="46"/>
  <c r="E11" i="46"/>
  <c r="E12" i="46"/>
  <c r="E13" i="46"/>
  <c r="G13" i="46" s="1"/>
  <c r="E14" i="46"/>
  <c r="E15" i="46"/>
  <c r="G15" i="46" s="1"/>
  <c r="E16" i="46"/>
  <c r="G16" i="46" s="1"/>
  <c r="E17" i="46"/>
  <c r="G17" i="46" s="1"/>
  <c r="E18" i="46"/>
  <c r="E19" i="46"/>
  <c r="E20" i="46"/>
  <c r="G20" i="46" s="1"/>
  <c r="E21" i="46"/>
  <c r="E22" i="46"/>
  <c r="E23" i="46"/>
  <c r="E24" i="46"/>
  <c r="E25" i="46"/>
  <c r="E26" i="46"/>
  <c r="E4" i="46"/>
  <c r="F26" i="46" a="1"/>
  <c r="F26" i="46" s="1"/>
  <c r="G26" i="46"/>
  <c r="F25" i="46"/>
  <c r="G25" i="46" s="1"/>
  <c r="F25" i="46" a="1"/>
  <c r="F24" i="46" a="1"/>
  <c r="F24" i="46" s="1"/>
  <c r="G24" i="46"/>
  <c r="F23" i="46" a="1"/>
  <c r="F23" i="46" s="1"/>
  <c r="G23" i="46"/>
  <c r="F22" i="46" a="1"/>
  <c r="F22" i="46" s="1"/>
  <c r="G22" i="46"/>
  <c r="F21" i="46" a="1"/>
  <c r="F21" i="46" s="1"/>
  <c r="G21" i="46" s="1"/>
  <c r="F20" i="46" a="1"/>
  <c r="F20" i="46" s="1"/>
  <c r="F19" i="46" a="1"/>
  <c r="F19" i="46" s="1"/>
  <c r="F18" i="46" a="1"/>
  <c r="F18" i="46" s="1"/>
  <c r="F17" i="46" a="1"/>
  <c r="F17" i="46" s="1"/>
  <c r="F16" i="46" a="1"/>
  <c r="F16" i="46" s="1"/>
  <c r="F15" i="46" a="1"/>
  <c r="F15" i="46" s="1"/>
  <c r="F14" i="46" a="1"/>
  <c r="F14" i="46" s="1"/>
  <c r="G14" i="46"/>
  <c r="F13" i="46"/>
  <c r="F13" i="46" a="1"/>
  <c r="F12" i="46" a="1"/>
  <c r="F12" i="46" s="1"/>
  <c r="F11" i="46"/>
  <c r="G11" i="46" s="1"/>
  <c r="F11" i="46" a="1"/>
  <c r="F10" i="46" a="1"/>
  <c r="F10" i="46" s="1"/>
  <c r="F9" i="46" a="1"/>
  <c r="F9" i="46" s="1"/>
  <c r="G9" i="46"/>
  <c r="F8" i="46" a="1"/>
  <c r="F8" i="46" s="1"/>
  <c r="G8" i="46"/>
  <c r="F7" i="46" a="1"/>
  <c r="F7" i="46" s="1"/>
  <c r="G7" i="46"/>
  <c r="F6" i="46" a="1"/>
  <c r="F6" i="46" s="1"/>
  <c r="G6" i="46" s="1"/>
  <c r="G5" i="46"/>
  <c r="F5" i="46"/>
  <c r="F5" i="46" a="1"/>
  <c r="F4" i="46" a="1"/>
  <c r="F4" i="46" s="1"/>
  <c r="P2" i="46"/>
  <c r="R2" i="46" s="1"/>
  <c r="T2" i="46" s="1"/>
  <c r="V2" i="46" s="1"/>
  <c r="X2" i="46" s="1"/>
  <c r="Z2" i="46" s="1"/>
  <c r="AB2" i="46" s="1"/>
  <c r="AD2" i="46" s="1"/>
  <c r="AF2" i="46" s="1"/>
  <c r="AH2" i="46" s="1"/>
  <c r="AJ2" i="46" s="1"/>
  <c r="AL2" i="46" s="1"/>
  <c r="AN2" i="46" s="1"/>
  <c r="AP2" i="46" s="1"/>
  <c r="AR2" i="46" s="1"/>
  <c r="AT2" i="46" s="1"/>
  <c r="AV2" i="46" s="1"/>
  <c r="AX2" i="46" s="1"/>
  <c r="AZ2" i="46" s="1"/>
  <c r="BB2" i="46" s="1"/>
  <c r="BD2" i="46" s="1"/>
  <c r="BF2" i="46" s="1"/>
  <c r="BH2" i="46" s="1"/>
  <c r="BJ2" i="46" s="1"/>
  <c r="BL2" i="46" s="1"/>
  <c r="BN2" i="46" s="1"/>
  <c r="BP2" i="46" s="1"/>
  <c r="BR2" i="46" s="1"/>
  <c r="BT2" i="46" s="1"/>
  <c r="BV2" i="46" s="1"/>
  <c r="BX2" i="46" s="1"/>
  <c r="BZ2" i="46" s="1"/>
  <c r="CB2" i="46" s="1"/>
  <c r="CD2" i="46" s="1"/>
  <c r="CF2" i="46" s="1"/>
  <c r="CH2" i="46" s="1"/>
  <c r="CJ2" i="46" s="1"/>
  <c r="CL2" i="46" s="1"/>
  <c r="CN2" i="46" s="1"/>
  <c r="CP2" i="46" s="1"/>
  <c r="CR2" i="46" s="1"/>
  <c r="CT2" i="46" s="1"/>
  <c r="CV2" i="46" s="1"/>
  <c r="CX2" i="46" s="1"/>
  <c r="CZ2" i="46" s="1"/>
  <c r="DB2" i="46" s="1"/>
  <c r="DD2" i="46" s="1"/>
  <c r="DF2" i="46" s="1"/>
  <c r="DH2" i="46" s="1"/>
  <c r="DJ2" i="46" s="1"/>
  <c r="D3" i="25"/>
  <c r="F3" i="25" s="1"/>
  <c r="D21" i="25" l="1"/>
  <c r="F21" i="25" s="1"/>
  <c r="K23" i="36"/>
  <c r="K17" i="36"/>
  <c r="K16" i="36"/>
  <c r="K15" i="36"/>
  <c r="K14" i="36"/>
  <c r="K13" i="36"/>
  <c r="K8" i="36"/>
  <c r="K26" i="36"/>
  <c r="K26" i="49"/>
  <c r="K25" i="36"/>
  <c r="K25" i="49"/>
  <c r="K24" i="36"/>
  <c r="K19" i="49"/>
  <c r="K12" i="36"/>
  <c r="K10" i="51"/>
  <c r="K18" i="49"/>
  <c r="K17" i="49"/>
  <c r="K20" i="51"/>
  <c r="K16" i="49"/>
  <c r="K19" i="51"/>
  <c r="K11" i="36"/>
  <c r="K15" i="49"/>
  <c r="K18" i="51"/>
  <c r="K4" i="36"/>
  <c r="K10" i="36"/>
  <c r="K14" i="49"/>
  <c r="K17" i="51"/>
  <c r="K27" i="36"/>
  <c r="K9" i="36"/>
  <c r="K13" i="49"/>
  <c r="K16" i="51"/>
  <c r="K11" i="49"/>
  <c r="K10" i="49"/>
  <c r="K9" i="51"/>
  <c r="K9" i="49"/>
  <c r="K8" i="51"/>
  <c r="K22" i="36"/>
  <c r="K27" i="51"/>
  <c r="K7" i="51"/>
  <c r="K21" i="36"/>
  <c r="K4" i="49"/>
  <c r="K26" i="51"/>
  <c r="K6" i="51"/>
  <c r="K18" i="36"/>
  <c r="K27" i="49"/>
  <c r="K25" i="51"/>
  <c r="K5" i="51"/>
  <c r="K24" i="49"/>
  <c r="K8" i="49"/>
  <c r="K23" i="49"/>
  <c r="K7" i="49"/>
  <c r="K15" i="51"/>
  <c r="K22" i="49"/>
  <c r="K6" i="49"/>
  <c r="K14" i="51"/>
  <c r="K20" i="36"/>
  <c r="K21" i="49"/>
  <c r="K5" i="49"/>
  <c r="K13" i="51"/>
  <c r="K4" i="51"/>
  <c r="H11" i="46"/>
  <c r="M11" i="46" s="1"/>
  <c r="H13" i="46"/>
  <c r="M13" i="46" s="1"/>
  <c r="H14" i="46"/>
  <c r="M14" i="46" s="1"/>
  <c r="H15" i="46"/>
  <c r="M15" i="46" s="1"/>
  <c r="H16" i="46"/>
  <c r="M16" i="46" s="1"/>
  <c r="H19" i="46"/>
  <c r="H20" i="46"/>
  <c r="M20" i="46" s="1"/>
  <c r="H12" i="46"/>
  <c r="H17" i="46"/>
  <c r="M17" i="46" s="1"/>
  <c r="H18" i="46"/>
  <c r="H4" i="46"/>
  <c r="M4" i="46" s="1"/>
  <c r="H22" i="46"/>
  <c r="M22" i="46" s="1"/>
  <c r="H23" i="46"/>
  <c r="M23" i="46" s="1"/>
  <c r="H24" i="46"/>
  <c r="M24" i="46" s="1"/>
  <c r="H25" i="46"/>
  <c r="M25" i="46" s="1"/>
  <c r="H26" i="46"/>
  <c r="M26" i="46" s="1"/>
  <c r="H5" i="46"/>
  <c r="M5" i="46" s="1"/>
  <c r="H6" i="46"/>
  <c r="M6" i="46" s="1"/>
  <c r="H8" i="46"/>
  <c r="M8" i="46" s="1"/>
  <c r="H9" i="46"/>
  <c r="M9" i="46" s="1"/>
  <c r="H10" i="46"/>
  <c r="H21" i="46"/>
  <c r="M21" i="46" s="1"/>
  <c r="H7" i="46"/>
  <c r="M7" i="46" s="1"/>
  <c r="M18" i="51"/>
  <c r="J19" i="51"/>
  <c r="J15" i="51"/>
  <c r="J11" i="51"/>
  <c r="M24" i="51"/>
  <c r="J25" i="51"/>
  <c r="J7" i="51"/>
  <c r="M20" i="51"/>
  <c r="M7" i="51"/>
  <c r="M15" i="51"/>
  <c r="M4" i="51"/>
  <c r="M12" i="51"/>
  <c r="M19" i="51"/>
  <c r="M9" i="51"/>
  <c r="M23" i="51"/>
  <c r="M17" i="51"/>
  <c r="J21" i="51"/>
  <c r="M11" i="51"/>
  <c r="M25" i="51"/>
  <c r="M8" i="51"/>
  <c r="M5" i="51"/>
  <c r="M13" i="51"/>
  <c r="M6" i="51"/>
  <c r="M10" i="51"/>
  <c r="M14" i="51"/>
  <c r="M27" i="51"/>
  <c r="G5" i="50"/>
  <c r="G9" i="50"/>
  <c r="G13" i="50"/>
  <c r="G17" i="50"/>
  <c r="J22" i="50"/>
  <c r="G22" i="50"/>
  <c r="J5" i="50"/>
  <c r="J9" i="50"/>
  <c r="J13" i="50"/>
  <c r="J17" i="50"/>
  <c r="J23" i="50"/>
  <c r="J18" i="50"/>
  <c r="J6" i="50"/>
  <c r="J10" i="50"/>
  <c r="J14" i="50"/>
  <c r="J24" i="50"/>
  <c r="J19" i="50"/>
  <c r="J7" i="50"/>
  <c r="J11" i="50"/>
  <c r="J15" i="50"/>
  <c r="J25" i="50"/>
  <c r="J20" i="50"/>
  <c r="M4" i="49"/>
  <c r="M8" i="49"/>
  <c r="M12" i="49"/>
  <c r="M16" i="49"/>
  <c r="M20" i="49"/>
  <c r="M24" i="49"/>
  <c r="M5" i="49"/>
  <c r="M9" i="49"/>
  <c r="M13" i="49"/>
  <c r="M17" i="49"/>
  <c r="M21" i="49"/>
  <c r="M25" i="49"/>
  <c r="M6" i="49"/>
  <c r="M10" i="49"/>
  <c r="M14" i="49"/>
  <c r="M18" i="49"/>
  <c r="M22" i="49"/>
  <c r="M26" i="49"/>
  <c r="J24" i="49"/>
  <c r="J25" i="41"/>
  <c r="J26" i="41"/>
  <c r="J4" i="41"/>
  <c r="G22" i="41"/>
  <c r="J10" i="41"/>
  <c r="G10" i="41"/>
  <c r="J14" i="41"/>
  <c r="G14" i="41"/>
  <c r="J18" i="41"/>
  <c r="J23" i="41"/>
  <c r="J24" i="41"/>
  <c r="J15" i="41"/>
  <c r="J7" i="41"/>
  <c r="J11" i="41"/>
  <c r="J20" i="41"/>
  <c r="J12" i="41"/>
  <c r="G12" i="41"/>
  <c r="J16" i="41"/>
  <c r="G16" i="41"/>
  <c r="J11" i="48"/>
  <c r="J19" i="48"/>
  <c r="J27" i="48"/>
  <c r="J22" i="48"/>
  <c r="J26" i="48"/>
  <c r="J12" i="48"/>
  <c r="J20" i="48"/>
  <c r="J6" i="48"/>
  <c r="J10" i="48"/>
  <c r="J18" i="48"/>
  <c r="J7" i="48"/>
  <c r="J4" i="48"/>
  <c r="J14" i="48"/>
  <c r="J17" i="48"/>
  <c r="J15" i="48"/>
  <c r="J8" i="48"/>
  <c r="J26" i="47"/>
  <c r="J20" i="47"/>
  <c r="J11" i="47"/>
  <c r="G25" i="47"/>
  <c r="J23" i="47"/>
  <c r="J16" i="47"/>
  <c r="J14" i="47"/>
  <c r="J21" i="47"/>
  <c r="G13" i="47"/>
  <c r="G26" i="47"/>
  <c r="J4" i="47"/>
  <c r="J10" i="47"/>
  <c r="J5" i="47"/>
  <c r="J8" i="47"/>
  <c r="J17" i="47"/>
  <c r="J9" i="47"/>
  <c r="J25" i="47"/>
  <c r="J6" i="47"/>
  <c r="J15" i="47"/>
  <c r="J12" i="47"/>
  <c r="J18" i="47"/>
  <c r="G4" i="46"/>
  <c r="G18" i="46"/>
  <c r="G19" i="46"/>
  <c r="G10" i="46"/>
  <c r="G12" i="46"/>
  <c r="K12" i="48" l="1"/>
  <c r="K10" i="48"/>
  <c r="K24" i="48"/>
  <c r="K19" i="48"/>
  <c r="K26" i="48"/>
  <c r="K23" i="48"/>
  <c r="K9" i="48"/>
  <c r="K14" i="48"/>
  <c r="K8" i="48"/>
  <c r="K18" i="48"/>
  <c r="K7" i="48"/>
  <c r="K25" i="48"/>
  <c r="K13" i="48"/>
  <c r="K6" i="48"/>
  <c r="K11" i="48"/>
  <c r="K17" i="48"/>
  <c r="K22" i="48"/>
  <c r="K16" i="48"/>
  <c r="K4" i="48"/>
  <c r="K21" i="48"/>
  <c r="K27" i="48"/>
  <c r="K5" i="48"/>
  <c r="K20" i="48"/>
  <c r="K15" i="48"/>
  <c r="M10" i="46"/>
  <c r="M12" i="46"/>
  <c r="M19" i="46"/>
  <c r="M18" i="46"/>
  <c r="C19" i="29" l="1"/>
  <c r="C20" i="29"/>
  <c r="C21" i="29"/>
  <c r="C22" i="29"/>
  <c r="C23" i="29"/>
  <c r="C24" i="29"/>
  <c r="C25" i="29"/>
  <c r="C26" i="29"/>
  <c r="C18" i="29"/>
  <c r="B18" i="29"/>
  <c r="B19" i="29"/>
  <c r="B20" i="29"/>
  <c r="B21" i="29"/>
  <c r="B22" i="29"/>
  <c r="B23" i="29"/>
  <c r="B24" i="29"/>
  <c r="B25" i="29"/>
  <c r="B26" i="29"/>
  <c r="K14" i="17"/>
  <c r="H29" i="17"/>
  <c r="I29" i="17"/>
  <c r="J29" i="17"/>
  <c r="K29" i="17"/>
  <c r="N29" i="17"/>
  <c r="O29" i="17"/>
  <c r="P29" i="17"/>
  <c r="Q29" i="17"/>
  <c r="G29" i="17"/>
  <c r="P9" i="17"/>
  <c r="Q9" i="17" s="1"/>
  <c r="P16" i="17"/>
  <c r="Q16" i="17" s="1"/>
  <c r="P17" i="17"/>
  <c r="Q17" i="17" s="1"/>
  <c r="P24" i="17"/>
  <c r="Q24" i="17" s="1"/>
  <c r="P25" i="17"/>
  <c r="Q25" i="17" s="1"/>
  <c r="G5" i="17"/>
  <c r="H5" i="17" s="1"/>
  <c r="G13" i="17"/>
  <c r="H13" i="17" s="1"/>
  <c r="G21" i="17"/>
  <c r="H21" i="17" s="1"/>
  <c r="G4" i="17"/>
  <c r="H4" i="17" s="1"/>
  <c r="O5" i="17"/>
  <c r="P5" i="17" s="1"/>
  <c r="Q5" i="17" s="1"/>
  <c r="O6" i="17"/>
  <c r="P6" i="17" s="1"/>
  <c r="Q6" i="17" s="1"/>
  <c r="O7" i="17"/>
  <c r="O8" i="17"/>
  <c r="C4" i="29" s="1"/>
  <c r="O9" i="17"/>
  <c r="O10" i="17"/>
  <c r="P10" i="17" s="1"/>
  <c r="Q10" i="17" s="1"/>
  <c r="O11" i="17"/>
  <c r="P11" i="17" s="1"/>
  <c r="Q11" i="17" s="1"/>
  <c r="O12" i="17"/>
  <c r="P12" i="17" s="1"/>
  <c r="Q12" i="17" s="1"/>
  <c r="O13" i="17"/>
  <c r="P13" i="17" s="1"/>
  <c r="Q13" i="17" s="1"/>
  <c r="O14" i="17"/>
  <c r="P14" i="17" s="1"/>
  <c r="Q14" i="17" s="1"/>
  <c r="O15" i="17"/>
  <c r="P15" i="17" s="1"/>
  <c r="Q15" i="17" s="1"/>
  <c r="O16" i="17"/>
  <c r="O17" i="17"/>
  <c r="O18" i="17"/>
  <c r="P18" i="17" s="1"/>
  <c r="Q18" i="17" s="1"/>
  <c r="O19" i="17"/>
  <c r="P19" i="17" s="1"/>
  <c r="Q19" i="17" s="1"/>
  <c r="O20" i="17"/>
  <c r="C5" i="29" s="1"/>
  <c r="O21" i="17"/>
  <c r="C6" i="29" s="1"/>
  <c r="O22" i="17"/>
  <c r="P22" i="17" s="1"/>
  <c r="Q22" i="17" s="1"/>
  <c r="O23" i="17"/>
  <c r="P23" i="17" s="1"/>
  <c r="Q23" i="17" s="1"/>
  <c r="O24" i="17"/>
  <c r="O25" i="17"/>
  <c r="C11" i="29" s="1"/>
  <c r="O26" i="17"/>
  <c r="C9" i="29" s="1"/>
  <c r="O27" i="17"/>
  <c r="P27" i="17" s="1"/>
  <c r="Q27" i="17" s="1"/>
  <c r="O28" i="17"/>
  <c r="C12" i="29" s="1"/>
  <c r="O4" i="17"/>
  <c r="P4" i="17" s="1"/>
  <c r="Q4" i="17" s="1"/>
  <c r="C7" i="29"/>
  <c r="C8" i="29"/>
  <c r="F27" i="27"/>
  <c r="F28" i="27"/>
  <c r="F29" i="27"/>
  <c r="F30" i="27"/>
  <c r="F31" i="27"/>
  <c r="F32" i="27"/>
  <c r="F33" i="27"/>
  <c r="F34" i="27"/>
  <c r="F35" i="27"/>
  <c r="F36" i="27"/>
  <c r="F37" i="27"/>
  <c r="F38" i="27"/>
  <c r="F39" i="27"/>
  <c r="F40" i="27"/>
  <c r="F41" i="27"/>
  <c r="F26" i="27"/>
  <c r="F5" i="27"/>
  <c r="F6" i="27"/>
  <c r="F7" i="27"/>
  <c r="F8" i="27"/>
  <c r="F9" i="27"/>
  <c r="F10" i="27"/>
  <c r="F11" i="27"/>
  <c r="F12" i="27"/>
  <c r="F13" i="27"/>
  <c r="F14" i="27"/>
  <c r="F15" i="27"/>
  <c r="F16" i="27"/>
  <c r="F17" i="27"/>
  <c r="F18" i="27"/>
  <c r="F19" i="27"/>
  <c r="F4" i="27"/>
  <c r="N5" i="17"/>
  <c r="N6" i="17"/>
  <c r="N7" i="17"/>
  <c r="P7" i="17" s="1"/>
  <c r="Q7" i="17" s="1"/>
  <c r="N8" i="17"/>
  <c r="N9" i="17"/>
  <c r="N10" i="17"/>
  <c r="N11" i="17"/>
  <c r="N12" i="17"/>
  <c r="N13" i="17"/>
  <c r="N14" i="17"/>
  <c r="N15" i="17"/>
  <c r="N16" i="17"/>
  <c r="N17" i="17"/>
  <c r="N18" i="17"/>
  <c r="N19" i="17"/>
  <c r="N20" i="17"/>
  <c r="N21" i="17"/>
  <c r="N22" i="17"/>
  <c r="N23" i="17"/>
  <c r="N24" i="17"/>
  <c r="N25" i="17"/>
  <c r="N26" i="17"/>
  <c r="N27" i="17"/>
  <c r="N28" i="17"/>
  <c r="N4" i="17"/>
  <c r="J5" i="17"/>
  <c r="J6" i="17"/>
  <c r="J7" i="17"/>
  <c r="J8" i="17"/>
  <c r="J9" i="17"/>
  <c r="J10" i="17"/>
  <c r="J11" i="17"/>
  <c r="J12" i="17"/>
  <c r="J13" i="17"/>
  <c r="J14" i="17"/>
  <c r="C7" i="27" s="1"/>
  <c r="J15" i="17"/>
  <c r="J16" i="17"/>
  <c r="J17" i="17"/>
  <c r="J18" i="17"/>
  <c r="J19" i="17"/>
  <c r="J20" i="17"/>
  <c r="J21" i="17"/>
  <c r="J22" i="17"/>
  <c r="J23" i="17"/>
  <c r="J24" i="17"/>
  <c r="J25" i="17"/>
  <c r="J26" i="17"/>
  <c r="J27" i="17"/>
  <c r="J28" i="17"/>
  <c r="J4" i="17"/>
  <c r="I5" i="17"/>
  <c r="I6" i="17"/>
  <c r="I7" i="17"/>
  <c r="I8" i="17"/>
  <c r="I9" i="17"/>
  <c r="I10" i="17"/>
  <c r="I11" i="17"/>
  <c r="I12" i="17"/>
  <c r="I13" i="17"/>
  <c r="I14" i="17"/>
  <c r="C29" i="27" s="1"/>
  <c r="I15" i="17"/>
  <c r="I16" i="17"/>
  <c r="I17" i="17"/>
  <c r="I18" i="17"/>
  <c r="I19" i="17"/>
  <c r="I20" i="17"/>
  <c r="I21" i="17"/>
  <c r="I22" i="17"/>
  <c r="I23" i="17"/>
  <c r="I24" i="17"/>
  <c r="I25" i="17"/>
  <c r="I26" i="17"/>
  <c r="I27" i="17"/>
  <c r="I28" i="17"/>
  <c r="I4" i="17"/>
  <c r="D5" i="17"/>
  <c r="C8" i="27" s="1"/>
  <c r="D6" i="17"/>
  <c r="C5" i="27" s="1"/>
  <c r="D7" i="17"/>
  <c r="C9" i="27" s="1"/>
  <c r="D8" i="17"/>
  <c r="C6" i="27" s="1"/>
  <c r="D9" i="17"/>
  <c r="C10" i="27" s="1"/>
  <c r="D10" i="17"/>
  <c r="C12" i="27" s="1"/>
  <c r="D11" i="17"/>
  <c r="C13" i="27" s="1"/>
  <c r="D12" i="17"/>
  <c r="C11" i="27" s="1"/>
  <c r="D13" i="17"/>
  <c r="C19" i="27" s="1"/>
  <c r="D14" i="17"/>
  <c r="G14" i="17" s="1"/>
  <c r="H14" i="17" s="1"/>
  <c r="D15" i="17"/>
  <c r="C15" i="27" s="1"/>
  <c r="D16" i="17"/>
  <c r="C14" i="27" s="1"/>
  <c r="D17" i="17"/>
  <c r="C16" i="27" s="1"/>
  <c r="D18" i="17"/>
  <c r="C17" i="27" s="1"/>
  <c r="D19" i="17"/>
  <c r="C18" i="27" s="1"/>
  <c r="D20" i="17"/>
  <c r="G20" i="17" s="1"/>
  <c r="H20" i="17" s="1"/>
  <c r="D21" i="17"/>
  <c r="D22" i="17"/>
  <c r="G22" i="17" s="1"/>
  <c r="H22" i="17" s="1"/>
  <c r="D23" i="17"/>
  <c r="G23" i="17" s="1"/>
  <c r="H23" i="17" s="1"/>
  <c r="D24" i="17"/>
  <c r="G24" i="17" s="1"/>
  <c r="H24" i="17" s="1"/>
  <c r="D25" i="17"/>
  <c r="G25" i="17" s="1"/>
  <c r="H25" i="17" s="1"/>
  <c r="D26" i="17"/>
  <c r="G26" i="17" s="1"/>
  <c r="H26" i="17" s="1"/>
  <c r="D27" i="17"/>
  <c r="G27" i="17" s="1"/>
  <c r="H27" i="17" s="1"/>
  <c r="D28" i="17"/>
  <c r="G28" i="17" s="1"/>
  <c r="H28" i="17" s="1"/>
  <c r="D4" i="17"/>
  <c r="C4" i="27" s="1"/>
  <c r="C5" i="17"/>
  <c r="C30" i="27" s="1"/>
  <c r="C6" i="17"/>
  <c r="C27" i="27" s="1"/>
  <c r="C7" i="17"/>
  <c r="C31" i="27" s="1"/>
  <c r="C8" i="17"/>
  <c r="C28" i="27" s="1"/>
  <c r="C9" i="17"/>
  <c r="C32" i="27" s="1"/>
  <c r="C10" i="17"/>
  <c r="C34" i="27" s="1"/>
  <c r="C11" i="17"/>
  <c r="C35" i="27" s="1"/>
  <c r="C12" i="17"/>
  <c r="C33" i="27" s="1"/>
  <c r="C13" i="17"/>
  <c r="C41" i="27" s="1"/>
  <c r="C14" i="17"/>
  <c r="C15" i="17"/>
  <c r="C37" i="27" s="1"/>
  <c r="C16" i="17"/>
  <c r="C36" i="27" s="1"/>
  <c r="C17" i="17"/>
  <c r="C38" i="27" s="1"/>
  <c r="C18" i="17"/>
  <c r="C39" i="27" s="1"/>
  <c r="C19" i="17"/>
  <c r="C40" i="27" s="1"/>
  <c r="C20" i="17"/>
  <c r="C21" i="17"/>
  <c r="C22" i="17"/>
  <c r="C23" i="17"/>
  <c r="C24" i="17"/>
  <c r="C25" i="17"/>
  <c r="C26" i="17"/>
  <c r="C27" i="17"/>
  <c r="C28" i="17"/>
  <c r="C4" i="17"/>
  <c r="C26" i="27" s="1"/>
  <c r="B28" i="17"/>
  <c r="B5" i="17"/>
  <c r="B30" i="27" s="1"/>
  <c r="B6" i="17"/>
  <c r="B5" i="27" s="1"/>
  <c r="B7" i="17"/>
  <c r="B31" i="27" s="1"/>
  <c r="B8" i="17"/>
  <c r="B9" i="17"/>
  <c r="B10" i="27" s="1"/>
  <c r="B10" i="17"/>
  <c r="B12" i="27" s="1"/>
  <c r="B11" i="17"/>
  <c r="B13" i="27" s="1"/>
  <c r="B12" i="17"/>
  <c r="B11" i="27" s="1"/>
  <c r="B13" i="17"/>
  <c r="B19" i="27" s="1"/>
  <c r="B14" i="17"/>
  <c r="B7" i="27" s="1"/>
  <c r="B15" i="17"/>
  <c r="B15" i="27" s="1"/>
  <c r="B16" i="17"/>
  <c r="B14" i="27" s="1"/>
  <c r="B17" i="17"/>
  <c r="B38" i="27" s="1"/>
  <c r="B18" i="17"/>
  <c r="B39" i="27" s="1"/>
  <c r="B19" i="17"/>
  <c r="B18" i="27" s="1"/>
  <c r="B20" i="17"/>
  <c r="B21" i="17"/>
  <c r="B22" i="17"/>
  <c r="B23" i="17"/>
  <c r="B24" i="17"/>
  <c r="B25" i="17"/>
  <c r="B11" i="29" s="1"/>
  <c r="B26" i="17"/>
  <c r="B9" i="29" s="1"/>
  <c r="B27" i="17"/>
  <c r="B10" i="29" s="1"/>
  <c r="B4" i="17"/>
  <c r="B4" i="27" s="1"/>
  <c r="E21" i="29" l="1"/>
  <c r="K4" i="17"/>
  <c r="G12" i="17"/>
  <c r="H12" i="17" s="1"/>
  <c r="G18" i="17"/>
  <c r="H18" i="17" s="1"/>
  <c r="G10" i="17"/>
  <c r="H10" i="17" s="1"/>
  <c r="K26" i="17"/>
  <c r="K18" i="17"/>
  <c r="K10" i="17"/>
  <c r="G17" i="17"/>
  <c r="H17" i="17" s="1"/>
  <c r="G9" i="17"/>
  <c r="H9" i="17" s="1"/>
  <c r="P21" i="17"/>
  <c r="Q21" i="17" s="1"/>
  <c r="K13" i="17"/>
  <c r="G16" i="17"/>
  <c r="H16" i="17" s="1"/>
  <c r="G8" i="17"/>
  <c r="H8" i="17" s="1"/>
  <c r="P28" i="17"/>
  <c r="Q28" i="17" s="1"/>
  <c r="P20" i="17"/>
  <c r="Q20" i="17" s="1"/>
  <c r="K21" i="17"/>
  <c r="G15" i="17"/>
  <c r="H15" i="17" s="1"/>
  <c r="G7" i="17"/>
  <c r="H7" i="17" s="1"/>
  <c r="P8" i="17"/>
  <c r="Q8" i="17" s="1"/>
  <c r="G6" i="17"/>
  <c r="H6" i="17" s="1"/>
  <c r="P26" i="17"/>
  <c r="Q26" i="17" s="1"/>
  <c r="K5" i="17"/>
  <c r="G19" i="17"/>
  <c r="H19" i="17" s="1"/>
  <c r="G11" i="17"/>
  <c r="H11" i="17" s="1"/>
  <c r="K27" i="17"/>
  <c r="K19" i="17"/>
  <c r="K11" i="17"/>
  <c r="C10" i="29"/>
  <c r="K20" i="17"/>
  <c r="K25" i="17"/>
  <c r="K17" i="17"/>
  <c r="K9" i="17"/>
  <c r="K24" i="17"/>
  <c r="K16" i="17"/>
  <c r="K8" i="17"/>
  <c r="K28" i="17"/>
  <c r="K23" i="17"/>
  <c r="K15" i="17"/>
  <c r="K7" i="17"/>
  <c r="K12" i="17"/>
  <c r="K22" i="17"/>
  <c r="K6" i="17"/>
  <c r="B16" i="27"/>
  <c r="B8" i="27"/>
  <c r="B37" i="27"/>
  <c r="B29" i="27"/>
  <c r="B17" i="27"/>
  <c r="B9" i="27"/>
  <c r="B36" i="27"/>
  <c r="B28" i="27"/>
  <c r="B8" i="29"/>
  <c r="B6" i="27"/>
  <c r="B35" i="27"/>
  <c r="B27" i="27"/>
  <c r="B7" i="29"/>
  <c r="B26" i="27"/>
  <c r="B34" i="27"/>
  <c r="B6" i="29"/>
  <c r="B41" i="27"/>
  <c r="B33" i="27"/>
  <c r="B4" i="29"/>
  <c r="B5" i="29"/>
  <c r="B40" i="27"/>
  <c r="B32" i="27"/>
  <c r="B12" i="29"/>
  <c r="E18" i="39"/>
  <c r="F18" i="39" a="1"/>
  <c r="F18" i="39" s="1"/>
  <c r="E19" i="39"/>
  <c r="F19" i="39" a="1"/>
  <c r="F19" i="39" s="1"/>
  <c r="E20" i="39"/>
  <c r="F20" i="39" a="1"/>
  <c r="F20" i="39" s="1"/>
  <c r="E21" i="39"/>
  <c r="F21" i="39" a="1"/>
  <c r="F21" i="39"/>
  <c r="E22" i="39"/>
  <c r="F22" i="39" a="1"/>
  <c r="F22" i="39" s="1"/>
  <c r="E23" i="39"/>
  <c r="F23" i="39" a="1"/>
  <c r="F23" i="39" s="1"/>
  <c r="E24" i="39"/>
  <c r="F24" i="39" a="1"/>
  <c r="F24" i="39" s="1"/>
  <c r="E25" i="39"/>
  <c r="F25" i="39" a="1"/>
  <c r="F25" i="39" s="1"/>
  <c r="E26" i="39"/>
  <c r="F26" i="39" a="1"/>
  <c r="F26" i="39" s="1"/>
  <c r="F18" i="37" a="1"/>
  <c r="F18" i="37" s="1"/>
  <c r="F19" i="37" a="1"/>
  <c r="F19" i="37" s="1"/>
  <c r="F20" i="37" a="1"/>
  <c r="F20" i="37" s="1"/>
  <c r="G20" i="37" s="1"/>
  <c r="K20" i="37" s="1"/>
  <c r="F21" i="37" a="1"/>
  <c r="F21" i="37" s="1"/>
  <c r="F22" i="37" a="1"/>
  <c r="F22" i="37" s="1"/>
  <c r="G22" i="37" s="1"/>
  <c r="K22" i="37" s="1"/>
  <c r="F23" i="37" a="1"/>
  <c r="F23" i="37" s="1"/>
  <c r="F24" i="37" a="1"/>
  <c r="F24" i="37" s="1"/>
  <c r="G24" i="37" s="1"/>
  <c r="K24" i="37" s="1"/>
  <c r="F25" i="37" a="1"/>
  <c r="F25" i="37" s="1"/>
  <c r="F26" i="37" a="1"/>
  <c r="F26" i="37" s="1"/>
  <c r="F18" i="33" a="1"/>
  <c r="F18" i="33"/>
  <c r="G18" i="33" s="1"/>
  <c r="F19" i="33" a="1"/>
  <c r="F19" i="33" s="1"/>
  <c r="F20" i="33" a="1"/>
  <c r="F20" i="33" s="1"/>
  <c r="G20" i="33" s="1"/>
  <c r="F21" i="33" a="1"/>
  <c r="F21" i="33" s="1"/>
  <c r="G21" i="33" s="1"/>
  <c r="F22" i="33" a="1"/>
  <c r="F22" i="33"/>
  <c r="G22" i="33" s="1"/>
  <c r="F23" i="33" a="1"/>
  <c r="F23" i="33"/>
  <c r="G23" i="33" s="1"/>
  <c r="F24" i="33" a="1"/>
  <c r="F24" i="33" s="1"/>
  <c r="F25" i="33" a="1"/>
  <c r="F25" i="33" s="1"/>
  <c r="F26" i="33" a="1"/>
  <c r="F26" i="33"/>
  <c r="G26" i="33" s="1"/>
  <c r="D34" i="27" a="1"/>
  <c r="D34" i="27" s="1"/>
  <c r="J18" i="46" s="1"/>
  <c r="D35" i="27" a="1"/>
  <c r="D35" i="27" s="1"/>
  <c r="D36" i="27" a="1"/>
  <c r="D36" i="27" s="1"/>
  <c r="D37" i="27" a="1"/>
  <c r="D37" i="27" s="1"/>
  <c r="J22" i="46" s="1"/>
  <c r="D38" i="27" a="1"/>
  <c r="D38" i="27" s="1"/>
  <c r="D39" i="27" a="1"/>
  <c r="D39" i="27" s="1"/>
  <c r="J25" i="46" s="1"/>
  <c r="D40" i="27" a="1"/>
  <c r="D40" i="27" s="1"/>
  <c r="D41" i="27" a="1"/>
  <c r="D41" i="27" s="1"/>
  <c r="J21" i="46" s="1"/>
  <c r="D12" i="27" a="1"/>
  <c r="D12" i="27" s="1"/>
  <c r="I18" i="46" s="1"/>
  <c r="D13" i="27" a="1"/>
  <c r="D13" i="27" s="1"/>
  <c r="D14" i="27" a="1"/>
  <c r="D14" i="27" s="1"/>
  <c r="I23" i="46" s="1"/>
  <c r="D15" i="27" a="1"/>
  <c r="D15" i="27" s="1"/>
  <c r="D16" i="27" a="1"/>
  <c r="D16" i="27" s="1"/>
  <c r="I24" i="46" s="1"/>
  <c r="D17" i="27" a="1"/>
  <c r="D17" i="27" s="1"/>
  <c r="I25" i="46" s="1"/>
  <c r="D18" i="27" a="1"/>
  <c r="D18" i="27" s="1"/>
  <c r="I26" i="46" s="1"/>
  <c r="D19" i="27" a="1"/>
  <c r="D19" i="27" s="1"/>
  <c r="I21" i="46" s="1"/>
  <c r="D6" i="27" a="1"/>
  <c r="D6" i="27" s="1"/>
  <c r="I8" i="46" s="1"/>
  <c r="D5" i="18"/>
  <c r="C5" i="18"/>
  <c r="DJ2" i="41"/>
  <c r="E5" i="39"/>
  <c r="E6" i="39"/>
  <c r="E7" i="39"/>
  <c r="E8" i="39"/>
  <c r="E9" i="39"/>
  <c r="G9" i="39" s="1"/>
  <c r="E10" i="39"/>
  <c r="E11" i="39"/>
  <c r="E12" i="39"/>
  <c r="E13" i="39"/>
  <c r="E14" i="39"/>
  <c r="E15" i="39"/>
  <c r="G15" i="39" s="1"/>
  <c r="E16" i="39"/>
  <c r="E17" i="39"/>
  <c r="E4" i="39"/>
  <c r="F17" i="39" a="1"/>
  <c r="F17" i="39" s="1"/>
  <c r="F16" i="39" a="1"/>
  <c r="F16" i="39" s="1"/>
  <c r="F15" i="39" a="1"/>
  <c r="F15" i="39" s="1"/>
  <c r="F14" i="39" a="1"/>
  <c r="F14" i="39" s="1"/>
  <c r="F13" i="39" a="1"/>
  <c r="F13" i="39" s="1"/>
  <c r="F12" i="39" a="1"/>
  <c r="F12" i="39" s="1"/>
  <c r="F11" i="39" a="1"/>
  <c r="F11" i="39" s="1"/>
  <c r="F10" i="39" a="1"/>
  <c r="F10" i="39" s="1"/>
  <c r="F9" i="39" a="1"/>
  <c r="F9" i="39" s="1"/>
  <c r="F8" i="39" a="1"/>
  <c r="F8" i="39" s="1"/>
  <c r="F7" i="39" a="1"/>
  <c r="F7" i="39" s="1"/>
  <c r="F6" i="39" a="1"/>
  <c r="F6" i="39" s="1"/>
  <c r="F5" i="39" a="1"/>
  <c r="F5" i="39" s="1"/>
  <c r="F4" i="39" a="1"/>
  <c r="F4" i="39" s="1"/>
  <c r="N2" i="39"/>
  <c r="P2" i="39" s="1"/>
  <c r="R2" i="39" s="1"/>
  <c r="T2" i="39" s="1"/>
  <c r="V2" i="39" s="1"/>
  <c r="X2" i="39" s="1"/>
  <c r="Z2" i="39" s="1"/>
  <c r="AB2" i="39" s="1"/>
  <c r="AD2" i="39" s="1"/>
  <c r="AF2" i="39" s="1"/>
  <c r="AH2" i="39" s="1"/>
  <c r="AJ2" i="39" s="1"/>
  <c r="AL2" i="39" s="1"/>
  <c r="AN2" i="39" s="1"/>
  <c r="AP2" i="39" s="1"/>
  <c r="AR2" i="39" s="1"/>
  <c r="AT2" i="39" s="1"/>
  <c r="AV2" i="39" s="1"/>
  <c r="AX2" i="39" s="1"/>
  <c r="AZ2" i="39" s="1"/>
  <c r="BB2" i="39" s="1"/>
  <c r="BD2" i="39" s="1"/>
  <c r="BF2" i="39" s="1"/>
  <c r="BH2" i="39" s="1"/>
  <c r="BJ2" i="39" s="1"/>
  <c r="BL2" i="39" s="1"/>
  <c r="BN2" i="39" s="1"/>
  <c r="BP2" i="39" s="1"/>
  <c r="BR2" i="39" s="1"/>
  <c r="BT2" i="39" s="1"/>
  <c r="BV2" i="39" s="1"/>
  <c r="BX2" i="39" s="1"/>
  <c r="BZ2" i="39" s="1"/>
  <c r="CB2" i="39" s="1"/>
  <c r="CD2" i="39" s="1"/>
  <c r="CF2" i="39" s="1"/>
  <c r="CH2" i="39" s="1"/>
  <c r="CJ2" i="39" s="1"/>
  <c r="CL2" i="39" s="1"/>
  <c r="CN2" i="39" s="1"/>
  <c r="CP2" i="39" s="1"/>
  <c r="CR2" i="39" s="1"/>
  <c r="CT2" i="39" s="1"/>
  <c r="CV2" i="39" s="1"/>
  <c r="CX2" i="39" s="1"/>
  <c r="CZ2" i="39" s="1"/>
  <c r="DB2" i="39" s="1"/>
  <c r="DD2" i="39" s="1"/>
  <c r="DF2" i="39" s="1"/>
  <c r="DH2" i="39" s="1"/>
  <c r="F17" i="37" a="1"/>
  <c r="F17" i="37" s="1"/>
  <c r="F16" i="37" a="1"/>
  <c r="F16" i="37" s="1"/>
  <c r="F15" i="37" a="1"/>
  <c r="F15" i="37" s="1"/>
  <c r="F14" i="37" a="1"/>
  <c r="F14" i="37" s="1"/>
  <c r="F13" i="37" a="1"/>
  <c r="F13" i="37" s="1"/>
  <c r="F12" i="37" a="1"/>
  <c r="F12" i="37" s="1"/>
  <c r="F11" i="37" a="1"/>
  <c r="F11" i="37" s="1"/>
  <c r="F10" i="37" a="1"/>
  <c r="F10" i="37" s="1"/>
  <c r="F9" i="37" a="1"/>
  <c r="F9" i="37" s="1"/>
  <c r="F8" i="37" a="1"/>
  <c r="F8" i="37" s="1"/>
  <c r="F7" i="37" a="1"/>
  <c r="F7" i="37" s="1"/>
  <c r="F6" i="37" a="1"/>
  <c r="F6" i="37" s="1"/>
  <c r="F5" i="37" a="1"/>
  <c r="F5" i="37" s="1"/>
  <c r="F4" i="37" a="1"/>
  <c r="F4" i="37" s="1"/>
  <c r="N2" i="37"/>
  <c r="P2" i="37" s="1"/>
  <c r="R2" i="37" s="1"/>
  <c r="T2" i="37" s="1"/>
  <c r="V2" i="37" s="1"/>
  <c r="X2" i="37" s="1"/>
  <c r="Z2" i="37" s="1"/>
  <c r="AB2" i="37" s="1"/>
  <c r="AD2" i="37" s="1"/>
  <c r="AF2" i="37" s="1"/>
  <c r="AH2" i="37" s="1"/>
  <c r="AJ2" i="37" s="1"/>
  <c r="AL2" i="37" s="1"/>
  <c r="AN2" i="37" s="1"/>
  <c r="AP2" i="37" s="1"/>
  <c r="AR2" i="37" s="1"/>
  <c r="AT2" i="37" s="1"/>
  <c r="AV2" i="37" s="1"/>
  <c r="AX2" i="37" s="1"/>
  <c r="AZ2" i="37" s="1"/>
  <c r="BB2" i="37" s="1"/>
  <c r="BD2" i="37" s="1"/>
  <c r="BF2" i="37" s="1"/>
  <c r="BH2" i="37" s="1"/>
  <c r="BJ2" i="37" s="1"/>
  <c r="BL2" i="37" s="1"/>
  <c r="BN2" i="37" s="1"/>
  <c r="BP2" i="37" s="1"/>
  <c r="BR2" i="37" s="1"/>
  <c r="BT2" i="37" s="1"/>
  <c r="BV2" i="37" s="1"/>
  <c r="BX2" i="37" s="1"/>
  <c r="BZ2" i="37" s="1"/>
  <c r="CB2" i="37" s="1"/>
  <c r="CD2" i="37" s="1"/>
  <c r="CF2" i="37" s="1"/>
  <c r="CH2" i="37" s="1"/>
  <c r="CJ2" i="37" s="1"/>
  <c r="CL2" i="37" s="1"/>
  <c r="CN2" i="37" s="1"/>
  <c r="CP2" i="37" s="1"/>
  <c r="CR2" i="37" s="1"/>
  <c r="CT2" i="37" s="1"/>
  <c r="CV2" i="37" s="1"/>
  <c r="CX2" i="37" s="1"/>
  <c r="CZ2" i="37" s="1"/>
  <c r="DB2" i="37" s="1"/>
  <c r="DD2" i="37" s="1"/>
  <c r="DF2" i="37" s="1"/>
  <c r="DH2" i="37" s="1"/>
  <c r="J8" i="36"/>
  <c r="J9" i="36"/>
  <c r="J10" i="36"/>
  <c r="J11" i="36"/>
  <c r="J12" i="36"/>
  <c r="J14" i="36"/>
  <c r="J15" i="36"/>
  <c r="J17" i="36"/>
  <c r="J18" i="36"/>
  <c r="J20" i="36"/>
  <c r="J21" i="36"/>
  <c r="J25" i="36"/>
  <c r="J26" i="36"/>
  <c r="J27" i="36"/>
  <c r="I27" i="36" a="1"/>
  <c r="I27" i="36" s="1"/>
  <c r="I26" i="36" a="1"/>
  <c r="I26" i="36" s="1"/>
  <c r="I25" i="36" a="1"/>
  <c r="I25" i="36" s="1"/>
  <c r="I24" i="36" a="1"/>
  <c r="I24" i="36" s="1"/>
  <c r="I23" i="36" a="1"/>
  <c r="I23" i="36" s="1"/>
  <c r="I22" i="36" a="1"/>
  <c r="I22" i="36" s="1"/>
  <c r="I21" i="36" a="1"/>
  <c r="I21" i="36" s="1"/>
  <c r="I20" i="36" a="1"/>
  <c r="I20" i="36" s="1"/>
  <c r="I19" i="36" a="1"/>
  <c r="I19" i="36" s="1"/>
  <c r="I18" i="36" a="1"/>
  <c r="I18" i="36" s="1"/>
  <c r="I17" i="36" a="1"/>
  <c r="I17" i="36" s="1"/>
  <c r="I16" i="36" a="1"/>
  <c r="I16" i="36" s="1"/>
  <c r="I15" i="36" a="1"/>
  <c r="I15" i="36" s="1"/>
  <c r="I14" i="36" a="1"/>
  <c r="I14" i="36" s="1"/>
  <c r="I13" i="36" a="1"/>
  <c r="I13" i="36" s="1"/>
  <c r="I12" i="36" a="1"/>
  <c r="I12" i="36" s="1"/>
  <c r="I11" i="36" a="1"/>
  <c r="I11" i="36" s="1"/>
  <c r="I10" i="36" a="1"/>
  <c r="I10" i="36" s="1"/>
  <c r="I9" i="36" a="1"/>
  <c r="I9" i="36" s="1"/>
  <c r="I8" i="36" a="1"/>
  <c r="I8" i="36" s="1"/>
  <c r="I7" i="36" a="1"/>
  <c r="I7" i="36" s="1"/>
  <c r="I6" i="36" a="1"/>
  <c r="I6" i="36" s="1"/>
  <c r="I5" i="36" a="1"/>
  <c r="I5" i="36" s="1"/>
  <c r="I4" i="36" a="1"/>
  <c r="I4" i="36" s="1"/>
  <c r="S2" i="36"/>
  <c r="U2" i="36" s="1"/>
  <c r="W2" i="36" s="1"/>
  <c r="Y2" i="36" s="1"/>
  <c r="AA2" i="36" s="1"/>
  <c r="AC2" i="36" s="1"/>
  <c r="AE2" i="36" s="1"/>
  <c r="AG2" i="36" s="1"/>
  <c r="AI2" i="36" s="1"/>
  <c r="AK2" i="36" s="1"/>
  <c r="AM2" i="36" s="1"/>
  <c r="AO2" i="36" s="1"/>
  <c r="AQ2" i="36" s="1"/>
  <c r="AS2" i="36" s="1"/>
  <c r="AU2" i="36" s="1"/>
  <c r="AW2" i="36" s="1"/>
  <c r="AY2" i="36" s="1"/>
  <c r="BA2" i="36" s="1"/>
  <c r="BC2" i="36" s="1"/>
  <c r="BE2" i="36" s="1"/>
  <c r="BG2" i="36" s="1"/>
  <c r="BI2" i="36" s="1"/>
  <c r="BK2" i="36" s="1"/>
  <c r="BM2" i="36" s="1"/>
  <c r="BO2" i="36" s="1"/>
  <c r="BQ2" i="36" s="1"/>
  <c r="BS2" i="36" s="1"/>
  <c r="BU2" i="36" s="1"/>
  <c r="BW2" i="36" s="1"/>
  <c r="BY2" i="36" s="1"/>
  <c r="CA2" i="36" s="1"/>
  <c r="CC2" i="36" s="1"/>
  <c r="CE2" i="36" s="1"/>
  <c r="CG2" i="36" s="1"/>
  <c r="CI2" i="36" s="1"/>
  <c r="CK2" i="36" s="1"/>
  <c r="CM2" i="36" s="1"/>
  <c r="CO2" i="36" s="1"/>
  <c r="CQ2" i="36" s="1"/>
  <c r="CS2" i="36" s="1"/>
  <c r="CU2" i="36" s="1"/>
  <c r="CW2" i="36" s="1"/>
  <c r="CY2" i="36" s="1"/>
  <c r="DA2" i="36" s="1"/>
  <c r="DC2" i="36" s="1"/>
  <c r="DE2" i="36" s="1"/>
  <c r="DG2" i="36" s="1"/>
  <c r="DI2" i="36" s="1"/>
  <c r="DK2" i="36" s="1"/>
  <c r="DM2" i="36" s="1"/>
  <c r="N2" i="33"/>
  <c r="P2" i="33" s="1"/>
  <c r="R2" i="33" s="1"/>
  <c r="T2" i="33" s="1"/>
  <c r="V2" i="33" s="1"/>
  <c r="X2" i="33" s="1"/>
  <c r="Z2" i="33" s="1"/>
  <c r="AB2" i="33" s="1"/>
  <c r="AD2" i="33" s="1"/>
  <c r="AF2" i="33" s="1"/>
  <c r="AH2" i="33" s="1"/>
  <c r="AJ2" i="33" s="1"/>
  <c r="AL2" i="33" s="1"/>
  <c r="AN2" i="33" s="1"/>
  <c r="AP2" i="33" s="1"/>
  <c r="AR2" i="33" s="1"/>
  <c r="AT2" i="33" s="1"/>
  <c r="AV2" i="33" s="1"/>
  <c r="AX2" i="33" s="1"/>
  <c r="AZ2" i="33" s="1"/>
  <c r="BB2" i="33" s="1"/>
  <c r="BD2" i="33" s="1"/>
  <c r="BF2" i="33" s="1"/>
  <c r="BH2" i="33" s="1"/>
  <c r="BJ2" i="33" s="1"/>
  <c r="BL2" i="33" s="1"/>
  <c r="BN2" i="33" s="1"/>
  <c r="BP2" i="33" s="1"/>
  <c r="BR2" i="33" s="1"/>
  <c r="BT2" i="33" s="1"/>
  <c r="BV2" i="33" s="1"/>
  <c r="BX2" i="33" s="1"/>
  <c r="BZ2" i="33" s="1"/>
  <c r="CB2" i="33" s="1"/>
  <c r="CD2" i="33" s="1"/>
  <c r="CF2" i="33" s="1"/>
  <c r="CH2" i="33" s="1"/>
  <c r="CJ2" i="33" s="1"/>
  <c r="CL2" i="33" s="1"/>
  <c r="CN2" i="33" s="1"/>
  <c r="CP2" i="33" s="1"/>
  <c r="CR2" i="33" s="1"/>
  <c r="CT2" i="33" s="1"/>
  <c r="CV2" i="33" s="1"/>
  <c r="CX2" i="33" s="1"/>
  <c r="CZ2" i="33" s="1"/>
  <c r="DB2" i="33" s="1"/>
  <c r="DD2" i="33" s="1"/>
  <c r="DF2" i="33" s="1"/>
  <c r="DH2" i="33" s="1"/>
  <c r="F4" i="33" a="1"/>
  <c r="F4" i="33" s="1"/>
  <c r="J4" i="33" s="1"/>
  <c r="F5" i="33" a="1"/>
  <c r="F5" i="33" s="1"/>
  <c r="F6" i="33" a="1"/>
  <c r="F6" i="33" s="1"/>
  <c r="F7" i="33" a="1"/>
  <c r="F7" i="33" s="1"/>
  <c r="F8" i="33" a="1"/>
  <c r="F8" i="33" s="1"/>
  <c r="F9" i="33" a="1"/>
  <c r="F9" i="33" s="1"/>
  <c r="F10" i="33" a="1"/>
  <c r="F10" i="33" s="1"/>
  <c r="F11" i="33" a="1"/>
  <c r="F11" i="33" s="1"/>
  <c r="F12" i="33" a="1"/>
  <c r="F12" i="33" s="1"/>
  <c r="F13" i="33" a="1"/>
  <c r="F13" i="33" s="1"/>
  <c r="F14" i="33" a="1"/>
  <c r="F14" i="33" s="1"/>
  <c r="F15" i="33" a="1"/>
  <c r="F15" i="33" s="1"/>
  <c r="F16" i="33" a="1"/>
  <c r="F16" i="33" s="1"/>
  <c r="F17" i="33" a="1"/>
  <c r="F17" i="33" s="1"/>
  <c r="G11" i="23"/>
  <c r="G10" i="23"/>
  <c r="G9" i="23"/>
  <c r="G7" i="23"/>
  <c r="G6" i="23"/>
  <c r="G5" i="23"/>
  <c r="G12" i="23"/>
  <c r="F19" i="29"/>
  <c r="F20" i="29"/>
  <c r="F21" i="29"/>
  <c r="F22" i="29"/>
  <c r="F23" i="29"/>
  <c r="F24" i="29"/>
  <c r="F25" i="29"/>
  <c r="F26" i="29"/>
  <c r="F18" i="29"/>
  <c r="F5" i="29"/>
  <c r="F6" i="29"/>
  <c r="F7" i="29"/>
  <c r="F8" i="29"/>
  <c r="F9" i="29"/>
  <c r="F10" i="29"/>
  <c r="F11" i="29"/>
  <c r="F12" i="29"/>
  <c r="F4" i="29"/>
  <c r="D20" i="29" a="1"/>
  <c r="D20" i="29" s="1"/>
  <c r="M26" i="36" s="1"/>
  <c r="D21" i="29" a="1"/>
  <c r="D21" i="29" s="1"/>
  <c r="M10" i="36" s="1"/>
  <c r="D6" i="29" a="1"/>
  <c r="D6" i="29" s="1"/>
  <c r="L6" i="36" s="1"/>
  <c r="D26" i="29" a="1"/>
  <c r="D26" i="29" s="1"/>
  <c r="M14" i="36" s="1"/>
  <c r="D25" i="29" a="1"/>
  <c r="D25" i="29" s="1"/>
  <c r="M13" i="36" s="1"/>
  <c r="D24" i="29" a="1"/>
  <c r="D24" i="29" s="1"/>
  <c r="M17" i="36" s="1"/>
  <c r="D23" i="29" a="1"/>
  <c r="D23" i="29" s="1"/>
  <c r="M15" i="36" s="1"/>
  <c r="D22" i="29" a="1"/>
  <c r="D22" i="29" s="1"/>
  <c r="M7" i="36" s="1"/>
  <c r="D19" i="29" a="1"/>
  <c r="D19" i="29" s="1"/>
  <c r="M18" i="36" s="1"/>
  <c r="D18" i="29" a="1"/>
  <c r="D18" i="29" s="1"/>
  <c r="M11" i="36" s="1"/>
  <c r="J16" i="29"/>
  <c r="L16" i="29" s="1"/>
  <c r="N16" i="29" s="1"/>
  <c r="P16" i="29" s="1"/>
  <c r="R16" i="29" s="1"/>
  <c r="T16" i="29" s="1"/>
  <c r="V16" i="29" s="1"/>
  <c r="X16" i="29" s="1"/>
  <c r="Z16" i="29" s="1"/>
  <c r="AB16" i="29" s="1"/>
  <c r="AD16" i="29" s="1"/>
  <c r="AF16" i="29" s="1"/>
  <c r="AH16" i="29" s="1"/>
  <c r="AJ16" i="29" s="1"/>
  <c r="AL16" i="29" s="1"/>
  <c r="AN16" i="29" s="1"/>
  <c r="AP16" i="29" s="1"/>
  <c r="AR16" i="29" s="1"/>
  <c r="AT16" i="29" s="1"/>
  <c r="AV16" i="29" s="1"/>
  <c r="AX16" i="29" s="1"/>
  <c r="AZ16" i="29" s="1"/>
  <c r="BB16" i="29" s="1"/>
  <c r="BD16" i="29" s="1"/>
  <c r="BF16" i="29" s="1"/>
  <c r="BH16" i="29" s="1"/>
  <c r="BJ16" i="29" s="1"/>
  <c r="BL16" i="29" s="1"/>
  <c r="BN16" i="29" s="1"/>
  <c r="BP16" i="29" s="1"/>
  <c r="BR16" i="29" s="1"/>
  <c r="BT16" i="29" s="1"/>
  <c r="BV16" i="29" s="1"/>
  <c r="BX16" i="29" s="1"/>
  <c r="BZ16" i="29" s="1"/>
  <c r="CB16" i="29" s="1"/>
  <c r="CD16" i="29" s="1"/>
  <c r="CF16" i="29" s="1"/>
  <c r="CH16" i="29" s="1"/>
  <c r="CJ16" i="29" s="1"/>
  <c r="CL16" i="29" s="1"/>
  <c r="CN16" i="29" s="1"/>
  <c r="CP16" i="29" s="1"/>
  <c r="CR16" i="29" s="1"/>
  <c r="CT16" i="29" s="1"/>
  <c r="CV16" i="29" s="1"/>
  <c r="CX16" i="29" s="1"/>
  <c r="CZ16" i="29" s="1"/>
  <c r="DB16" i="29" s="1"/>
  <c r="DD16" i="29" s="1"/>
  <c r="D12" i="29" a="1"/>
  <c r="D12" i="29" s="1"/>
  <c r="L26" i="36" s="1"/>
  <c r="D11" i="29" a="1"/>
  <c r="D11" i="29" s="1"/>
  <c r="L14" i="36" s="1"/>
  <c r="D10" i="29" a="1"/>
  <c r="D10" i="29" s="1"/>
  <c r="L17" i="36" s="1"/>
  <c r="D9" i="29" a="1"/>
  <c r="D9" i="29" s="1"/>
  <c r="L15" i="36" s="1"/>
  <c r="D8" i="29" a="1"/>
  <c r="D8" i="29" s="1"/>
  <c r="L7" i="36" s="1"/>
  <c r="D7" i="29" a="1"/>
  <c r="D7" i="29" s="1"/>
  <c r="L9" i="36" s="1"/>
  <c r="D5" i="29" a="1"/>
  <c r="D5" i="29" s="1"/>
  <c r="L13" i="36" s="1"/>
  <c r="D4" i="29" a="1"/>
  <c r="D4" i="29" s="1"/>
  <c r="L23" i="36" s="1"/>
  <c r="J2" i="29"/>
  <c r="L2" i="29" s="1"/>
  <c r="N2" i="29" s="1"/>
  <c r="P2" i="29" s="1"/>
  <c r="R2" i="29" s="1"/>
  <c r="T2" i="29" s="1"/>
  <c r="V2" i="29" s="1"/>
  <c r="X2" i="29" s="1"/>
  <c r="Z2" i="29" s="1"/>
  <c r="AB2" i="29" s="1"/>
  <c r="AD2" i="29" s="1"/>
  <c r="AF2" i="29" s="1"/>
  <c r="AH2" i="29" s="1"/>
  <c r="AJ2" i="29" s="1"/>
  <c r="AL2" i="29" s="1"/>
  <c r="AN2" i="29" s="1"/>
  <c r="AP2" i="29" s="1"/>
  <c r="AR2" i="29" s="1"/>
  <c r="AT2" i="29" s="1"/>
  <c r="AV2" i="29" s="1"/>
  <c r="AX2" i="29" s="1"/>
  <c r="AZ2" i="29" s="1"/>
  <c r="BB2" i="29" s="1"/>
  <c r="BD2" i="29" s="1"/>
  <c r="BF2" i="29" s="1"/>
  <c r="BH2" i="29" s="1"/>
  <c r="BJ2" i="29" s="1"/>
  <c r="BL2" i="29" s="1"/>
  <c r="BN2" i="29" s="1"/>
  <c r="BP2" i="29" s="1"/>
  <c r="BR2" i="29" s="1"/>
  <c r="BT2" i="29" s="1"/>
  <c r="BV2" i="29" s="1"/>
  <c r="BX2" i="29" s="1"/>
  <c r="BZ2" i="29" s="1"/>
  <c r="CB2" i="29" s="1"/>
  <c r="CD2" i="29" s="1"/>
  <c r="CF2" i="29" s="1"/>
  <c r="CH2" i="29" s="1"/>
  <c r="CJ2" i="29" s="1"/>
  <c r="CL2" i="29" s="1"/>
  <c r="CN2" i="29" s="1"/>
  <c r="CP2" i="29" s="1"/>
  <c r="CR2" i="29" s="1"/>
  <c r="CT2" i="29" s="1"/>
  <c r="CV2" i="29" s="1"/>
  <c r="CX2" i="29" s="1"/>
  <c r="CZ2" i="29" s="1"/>
  <c r="DB2" i="29" s="1"/>
  <c r="DD2" i="29" s="1"/>
  <c r="D27" i="27" a="1"/>
  <c r="D27" i="27" s="1"/>
  <c r="D28" i="27" a="1"/>
  <c r="D28" i="27" s="1"/>
  <c r="J8" i="46" s="1"/>
  <c r="D29" i="27" a="1"/>
  <c r="D29" i="27" s="1"/>
  <c r="D30" i="27" a="1"/>
  <c r="D30" i="27" s="1"/>
  <c r="J5" i="46" s="1"/>
  <c r="D31" i="27" a="1"/>
  <c r="D31" i="27" s="1"/>
  <c r="J7" i="46" s="1"/>
  <c r="D32" i="27" a="1"/>
  <c r="D32" i="27" s="1"/>
  <c r="D33" i="27" a="1"/>
  <c r="D33" i="27" s="1"/>
  <c r="D26" i="27" a="1"/>
  <c r="D26" i="27" s="1"/>
  <c r="J4" i="46" s="1"/>
  <c r="D5" i="27" a="1"/>
  <c r="D5" i="27" s="1"/>
  <c r="I6" i="46" s="1"/>
  <c r="D7" i="27" a="1"/>
  <c r="D7" i="27" s="1"/>
  <c r="D8" i="27" a="1"/>
  <c r="D8" i="27" s="1"/>
  <c r="I5" i="46" s="1"/>
  <c r="D9" i="27" a="1"/>
  <c r="D9" i="27" s="1"/>
  <c r="I7" i="46" s="1"/>
  <c r="D10" i="27" a="1"/>
  <c r="D10" i="27" s="1"/>
  <c r="D11" i="27" a="1"/>
  <c r="D11" i="27" s="1"/>
  <c r="D4" i="27" a="1"/>
  <c r="D4" i="27" s="1"/>
  <c r="I4" i="46" s="1"/>
  <c r="J24" i="27"/>
  <c r="L24" i="27" s="1"/>
  <c r="N24" i="27" s="1"/>
  <c r="P24" i="27" s="1"/>
  <c r="R24" i="27" s="1"/>
  <c r="T24" i="27" s="1"/>
  <c r="V24" i="27" s="1"/>
  <c r="X24" i="27" s="1"/>
  <c r="Z24" i="27" s="1"/>
  <c r="AB24" i="27" s="1"/>
  <c r="AD24" i="27" s="1"/>
  <c r="AF24" i="27" s="1"/>
  <c r="AH24" i="27" s="1"/>
  <c r="AJ24" i="27" s="1"/>
  <c r="AL24" i="27" s="1"/>
  <c r="AN24" i="27" s="1"/>
  <c r="AP24" i="27" s="1"/>
  <c r="AR24" i="27" s="1"/>
  <c r="AT24" i="27" s="1"/>
  <c r="AV24" i="27" s="1"/>
  <c r="AX24" i="27" s="1"/>
  <c r="AZ24" i="27" s="1"/>
  <c r="BB24" i="27" s="1"/>
  <c r="BD24" i="27" s="1"/>
  <c r="BF24" i="27" s="1"/>
  <c r="BH24" i="27" s="1"/>
  <c r="BJ24" i="27" s="1"/>
  <c r="BL24" i="27" s="1"/>
  <c r="BN24" i="27" s="1"/>
  <c r="BP24" i="27" s="1"/>
  <c r="BR24" i="27" s="1"/>
  <c r="BT24" i="27" s="1"/>
  <c r="BV24" i="27" s="1"/>
  <c r="BX24" i="27" s="1"/>
  <c r="BZ24" i="27" s="1"/>
  <c r="CB24" i="27" s="1"/>
  <c r="CD24" i="27" s="1"/>
  <c r="CF24" i="27" s="1"/>
  <c r="CH24" i="27" s="1"/>
  <c r="CJ24" i="27" s="1"/>
  <c r="CL24" i="27" s="1"/>
  <c r="CN24" i="27" s="1"/>
  <c r="CP24" i="27" s="1"/>
  <c r="CR24" i="27" s="1"/>
  <c r="CT24" i="27" s="1"/>
  <c r="CV24" i="27" s="1"/>
  <c r="CX24" i="27" s="1"/>
  <c r="CZ24" i="27" s="1"/>
  <c r="DB24" i="27" s="1"/>
  <c r="DD24" i="27" s="1"/>
  <c r="J2" i="27"/>
  <c r="L2" i="27" s="1"/>
  <c r="I23" i="24"/>
  <c r="I22" i="24"/>
  <c r="I21" i="24"/>
  <c r="I17" i="24"/>
  <c r="I16" i="24"/>
  <c r="I11" i="24"/>
  <c r="I10" i="24"/>
  <c r="I9" i="24"/>
  <c r="I6" i="24"/>
  <c r="I5" i="24"/>
  <c r="I4" i="24"/>
  <c r="G23" i="23"/>
  <c r="G24" i="23"/>
  <c r="G25" i="23"/>
  <c r="C21" i="23"/>
  <c r="C20" i="23"/>
  <c r="C19" i="23"/>
  <c r="G31" i="23"/>
  <c r="G26" i="23"/>
  <c r="G27" i="23"/>
  <c r="E11" i="21"/>
  <c r="E10" i="21"/>
  <c r="E9" i="21"/>
  <c r="E8" i="21"/>
  <c r="G28" i="23"/>
  <c r="G29" i="23"/>
  <c r="B6" i="25"/>
  <c r="C6" i="25" s="1"/>
  <c r="D6" i="25" s="1"/>
  <c r="F6" i="25" s="1"/>
  <c r="B15" i="25"/>
  <c r="C15" i="25" s="1"/>
  <c r="D15" i="25" s="1"/>
  <c r="F15" i="25" s="1"/>
  <c r="H11" i="39" s="1"/>
  <c r="B24" i="25"/>
  <c r="C24" i="25" s="1"/>
  <c r="D24" i="25" s="1"/>
  <c r="B42" i="25"/>
  <c r="C42" i="25" s="1"/>
  <c r="D42" i="25" s="1"/>
  <c r="F42" i="25" s="1"/>
  <c r="B36" i="25"/>
  <c r="C36" i="25" s="1"/>
  <c r="B30" i="25"/>
  <c r="C30" i="25" s="1"/>
  <c r="D30" i="25" s="1"/>
  <c r="B18" i="25"/>
  <c r="C18" i="25" s="1"/>
  <c r="E43" i="23"/>
  <c r="G43" i="23" s="1"/>
  <c r="G22" i="23"/>
  <c r="G30" i="23"/>
  <c r="G19" i="23"/>
  <c r="G20" i="23"/>
  <c r="G21" i="23"/>
  <c r="G17" i="23"/>
  <c r="G15" i="23"/>
  <c r="G16" i="23"/>
  <c r="G14" i="23"/>
  <c r="G2" i="23"/>
  <c r="G3" i="23"/>
  <c r="D23" i="24"/>
  <c r="G23" i="24" s="1"/>
  <c r="H23" i="24" s="1"/>
  <c r="F23" i="24" s="1"/>
  <c r="D11" i="24"/>
  <c r="G11" i="24" s="1"/>
  <c r="H11" i="24" s="1"/>
  <c r="D22" i="24"/>
  <c r="G22" i="24" s="1"/>
  <c r="H22" i="24" s="1"/>
  <c r="D21" i="24"/>
  <c r="G21" i="24" s="1"/>
  <c r="H21" i="24" s="1"/>
  <c r="D18" i="24"/>
  <c r="G18" i="24" s="1"/>
  <c r="H18" i="24" s="1"/>
  <c r="I18" i="24" s="1"/>
  <c r="D17" i="24"/>
  <c r="G17" i="24" s="1"/>
  <c r="H17" i="24" s="1"/>
  <c r="D16" i="24"/>
  <c r="G16" i="24" s="1"/>
  <c r="H16" i="24" s="1"/>
  <c r="D10" i="24"/>
  <c r="G10" i="24" s="1"/>
  <c r="H10" i="24" s="1"/>
  <c r="D9" i="24"/>
  <c r="G9" i="24" s="1"/>
  <c r="H9" i="24" s="1"/>
  <c r="F9" i="24" s="1"/>
  <c r="D6" i="24"/>
  <c r="G6" i="24" s="1"/>
  <c r="H6" i="24" s="1"/>
  <c r="D5" i="24"/>
  <c r="G5" i="24" s="1"/>
  <c r="H5" i="24" s="1"/>
  <c r="F5" i="24" s="1"/>
  <c r="D4" i="24"/>
  <c r="G4" i="24" s="1"/>
  <c r="H4" i="24" s="1"/>
  <c r="F4" i="24" s="1"/>
  <c r="D18" i="25" l="1"/>
  <c r="F18" i="25" s="1"/>
  <c r="C40" i="23"/>
  <c r="H11" i="33"/>
  <c r="H4" i="33"/>
  <c r="H12" i="33"/>
  <c r="H13" i="33"/>
  <c r="H14" i="33"/>
  <c r="H15" i="33"/>
  <c r="H16" i="33"/>
  <c r="H17" i="33"/>
  <c r="H18" i="33"/>
  <c r="K18" i="33" s="1"/>
  <c r="H19" i="33"/>
  <c r="H20" i="33"/>
  <c r="K20" i="33" s="1"/>
  <c r="H5" i="33"/>
  <c r="H21" i="33"/>
  <c r="K21" i="33" s="1"/>
  <c r="H6" i="33"/>
  <c r="H22" i="33"/>
  <c r="K22" i="33" s="1"/>
  <c r="H7" i="33"/>
  <c r="H23" i="33"/>
  <c r="K23" i="33" s="1"/>
  <c r="H8" i="33"/>
  <c r="H24" i="33"/>
  <c r="H9" i="33"/>
  <c r="H25" i="33"/>
  <c r="H10" i="33"/>
  <c r="H26" i="33"/>
  <c r="K26" i="33" s="1"/>
  <c r="E19" i="29"/>
  <c r="E22" i="29"/>
  <c r="E11" i="29"/>
  <c r="E10" i="29"/>
  <c r="E23" i="29"/>
  <c r="G23" i="29" s="1"/>
  <c r="E25" i="29"/>
  <c r="G25" i="29" s="1"/>
  <c r="E20" i="29"/>
  <c r="E24" i="29"/>
  <c r="G24" i="29" s="1"/>
  <c r="E18" i="29"/>
  <c r="G18" i="29" s="1"/>
  <c r="E5" i="29"/>
  <c r="G5" i="29" s="1"/>
  <c r="E6" i="29"/>
  <c r="E26" i="29"/>
  <c r="E8" i="29"/>
  <c r="G8" i="29" s="1"/>
  <c r="E4" i="29"/>
  <c r="G4" i="29" s="1"/>
  <c r="E9" i="29"/>
  <c r="G9" i="29" s="1"/>
  <c r="E7" i="29"/>
  <c r="G7" i="29" s="1"/>
  <c r="E12" i="29"/>
  <c r="G12" i="29" s="1"/>
  <c r="M25" i="36"/>
  <c r="N7" i="36"/>
  <c r="O7" i="36" s="1"/>
  <c r="M8" i="36"/>
  <c r="M24" i="36"/>
  <c r="N13" i="36"/>
  <c r="O13" i="36" s="1"/>
  <c r="N14" i="36"/>
  <c r="O14" i="36" s="1"/>
  <c r="N26" i="36"/>
  <c r="L27" i="36"/>
  <c r="L16" i="36"/>
  <c r="L8" i="36"/>
  <c r="L5" i="36"/>
  <c r="L19" i="36"/>
  <c r="L18" i="36"/>
  <c r="N18" i="36" s="1"/>
  <c r="O18" i="36" s="1"/>
  <c r="L22" i="36"/>
  <c r="L12" i="36"/>
  <c r="L20" i="36"/>
  <c r="L21" i="36"/>
  <c r="N15" i="36"/>
  <c r="O15" i="36" s="1"/>
  <c r="N17" i="36"/>
  <c r="O17" i="36" s="1"/>
  <c r="M9" i="36"/>
  <c r="N9" i="36" s="1"/>
  <c r="O9" i="36" s="1"/>
  <c r="M22" i="36"/>
  <c r="M6" i="36"/>
  <c r="N6" i="36" s="1"/>
  <c r="M21" i="36"/>
  <c r="M5" i="36"/>
  <c r="M23" i="36"/>
  <c r="N23" i="36" s="1"/>
  <c r="O23" i="36" s="1"/>
  <c r="M20" i="36"/>
  <c r="M19" i="36"/>
  <c r="L11" i="36"/>
  <c r="N11" i="36" s="1"/>
  <c r="O11" i="36" s="1"/>
  <c r="M16" i="36"/>
  <c r="N16" i="36" s="1"/>
  <c r="O16" i="36" s="1"/>
  <c r="L10" i="36"/>
  <c r="N10" i="36" s="1"/>
  <c r="O10" i="36" s="1"/>
  <c r="M12" i="36"/>
  <c r="K8" i="46"/>
  <c r="L8" i="46" s="1"/>
  <c r="K21" i="46"/>
  <c r="L21" i="46" s="1"/>
  <c r="E7" i="27"/>
  <c r="I13" i="46"/>
  <c r="I14" i="46"/>
  <c r="I15" i="46"/>
  <c r="I16" i="46"/>
  <c r="I17" i="46"/>
  <c r="J19" i="46"/>
  <c r="J20" i="46"/>
  <c r="J17" i="46"/>
  <c r="J15" i="46"/>
  <c r="J13" i="46"/>
  <c r="J14" i="46"/>
  <c r="J16" i="46"/>
  <c r="E15" i="27"/>
  <c r="G15" i="27" s="1"/>
  <c r="I22" i="46"/>
  <c r="K22" i="46" s="1"/>
  <c r="L22" i="46" s="1"/>
  <c r="J11" i="46"/>
  <c r="J12" i="46"/>
  <c r="K4" i="46"/>
  <c r="L4" i="46" s="1"/>
  <c r="I19" i="46"/>
  <c r="I20" i="46"/>
  <c r="E38" i="27"/>
  <c r="G38" i="27" s="1"/>
  <c r="J24" i="46"/>
  <c r="K24" i="46" s="1"/>
  <c r="L24" i="46" s="1"/>
  <c r="E36" i="27"/>
  <c r="G36" i="27" s="1"/>
  <c r="J23" i="46"/>
  <c r="K23" i="46" s="1"/>
  <c r="L23" i="46" s="1"/>
  <c r="K25" i="46"/>
  <c r="L25" i="46" s="1"/>
  <c r="I12" i="46"/>
  <c r="I11" i="46"/>
  <c r="I9" i="46"/>
  <c r="I10" i="46"/>
  <c r="K18" i="46"/>
  <c r="L18" i="46" s="1"/>
  <c r="J10" i="46"/>
  <c r="J9" i="46"/>
  <c r="E27" i="27"/>
  <c r="G27" i="27" s="1"/>
  <c r="J6" i="46"/>
  <c r="K6" i="46" s="1"/>
  <c r="L6" i="46" s="1"/>
  <c r="K7" i="46"/>
  <c r="L7" i="46" s="1"/>
  <c r="K5" i="46"/>
  <c r="L5" i="46" s="1"/>
  <c r="E40" i="27"/>
  <c r="G40" i="27" s="1"/>
  <c r="J26" i="46"/>
  <c r="K26" i="46" s="1"/>
  <c r="L26" i="46" s="1"/>
  <c r="N11" i="48"/>
  <c r="N27" i="48"/>
  <c r="N13" i="48"/>
  <c r="N16" i="48"/>
  <c r="N18" i="48"/>
  <c r="N20" i="48"/>
  <c r="N5" i="48"/>
  <c r="N21" i="48"/>
  <c r="N12" i="48"/>
  <c r="N4" i="48"/>
  <c r="N14" i="48"/>
  <c r="N15" i="48"/>
  <c r="N17" i="48"/>
  <c r="N19" i="48"/>
  <c r="N6" i="48"/>
  <c r="N7" i="48"/>
  <c r="N8" i="48"/>
  <c r="N9" i="48"/>
  <c r="N10" i="48"/>
  <c r="N22" i="48"/>
  <c r="N23" i="48"/>
  <c r="N25" i="48"/>
  <c r="N26" i="48"/>
  <c r="N24" i="48"/>
  <c r="G22" i="39"/>
  <c r="K22" i="39" s="1"/>
  <c r="G21" i="39"/>
  <c r="K21" i="39" s="1"/>
  <c r="G26" i="39"/>
  <c r="K26" i="39" s="1"/>
  <c r="G7" i="39"/>
  <c r="G18" i="39"/>
  <c r="K18" i="39" s="1"/>
  <c r="H10" i="39"/>
  <c r="C46" i="23"/>
  <c r="H8" i="39"/>
  <c r="H7" i="39"/>
  <c r="K7" i="39" s="1"/>
  <c r="P12" i="36"/>
  <c r="H17" i="39"/>
  <c r="P8" i="36"/>
  <c r="H16" i="39"/>
  <c r="P20" i="36"/>
  <c r="P11" i="36"/>
  <c r="P21" i="36"/>
  <c r="P15" i="36"/>
  <c r="P27" i="36"/>
  <c r="H15" i="39"/>
  <c r="K15" i="39" s="1"/>
  <c r="H9" i="39"/>
  <c r="K9" i="39" s="1"/>
  <c r="H6" i="39"/>
  <c r="H4" i="39"/>
  <c r="P9" i="36"/>
  <c r="H14" i="39"/>
  <c r="P17" i="36"/>
  <c r="P25" i="36"/>
  <c r="H5" i="39"/>
  <c r="D36" i="25"/>
  <c r="F36" i="25" s="1"/>
  <c r="C53" i="23" s="1"/>
  <c r="P10" i="36"/>
  <c r="P18" i="36"/>
  <c r="P26" i="36"/>
  <c r="H13" i="39"/>
  <c r="H12" i="39"/>
  <c r="C45" i="23"/>
  <c r="P14" i="36"/>
  <c r="J4" i="36"/>
  <c r="E39" i="27"/>
  <c r="G39" i="27" s="1"/>
  <c r="E34" i="27"/>
  <c r="G34" i="27" s="1"/>
  <c r="E4" i="27"/>
  <c r="E8" i="27"/>
  <c r="G17" i="39"/>
  <c r="G6" i="39"/>
  <c r="G5" i="39"/>
  <c r="G25" i="37"/>
  <c r="K25" i="37" s="1"/>
  <c r="J23" i="36"/>
  <c r="G14" i="39"/>
  <c r="G21" i="37"/>
  <c r="K21" i="37" s="1"/>
  <c r="G20" i="39"/>
  <c r="K20" i="39" s="1"/>
  <c r="J24" i="36"/>
  <c r="G24" i="39"/>
  <c r="K24" i="39" s="1"/>
  <c r="G19" i="39"/>
  <c r="K19" i="39" s="1"/>
  <c r="G25" i="39"/>
  <c r="K25" i="39" s="1"/>
  <c r="G23" i="39"/>
  <c r="K23" i="39" s="1"/>
  <c r="G13" i="39"/>
  <c r="G4" i="39"/>
  <c r="G10" i="39"/>
  <c r="G12" i="39"/>
  <c r="G23" i="37"/>
  <c r="K23" i="37" s="1"/>
  <c r="G19" i="37"/>
  <c r="K19" i="37" s="1"/>
  <c r="G26" i="37"/>
  <c r="K26" i="37" s="1"/>
  <c r="G18" i="37"/>
  <c r="K18" i="37" s="1"/>
  <c r="G17" i="37"/>
  <c r="K17" i="37" s="1"/>
  <c r="G19" i="33"/>
  <c r="G25" i="33"/>
  <c r="G24" i="33"/>
  <c r="G11" i="37"/>
  <c r="K11" i="37" s="1"/>
  <c r="G8" i="37"/>
  <c r="K8" i="37" s="1"/>
  <c r="G12" i="37"/>
  <c r="K12" i="37" s="1"/>
  <c r="E17" i="27"/>
  <c r="G17" i="27" s="1"/>
  <c r="E35" i="27"/>
  <c r="G35" i="27" s="1"/>
  <c r="E41" i="27"/>
  <c r="G41" i="27" s="1"/>
  <c r="E37" i="27"/>
  <c r="G37" i="27" s="1"/>
  <c r="E9" i="27"/>
  <c r="E13" i="27"/>
  <c r="G13" i="27" s="1"/>
  <c r="E19" i="27"/>
  <c r="G19" i="27" s="1"/>
  <c r="E18" i="27"/>
  <c r="G18" i="27" s="1"/>
  <c r="E28" i="27"/>
  <c r="G28" i="27" s="1"/>
  <c r="E16" i="27"/>
  <c r="G16" i="27" s="1"/>
  <c r="E14" i="27"/>
  <c r="G14" i="27" s="1"/>
  <c r="E10" i="27"/>
  <c r="E33" i="27"/>
  <c r="G33" i="27" s="1"/>
  <c r="E32" i="27"/>
  <c r="E12" i="27"/>
  <c r="G12" i="27" s="1"/>
  <c r="E31" i="27"/>
  <c r="G31" i="27" s="1"/>
  <c r="E5" i="27"/>
  <c r="E11" i="27"/>
  <c r="E29" i="27"/>
  <c r="G29" i="27" s="1"/>
  <c r="E6" i="27"/>
  <c r="G9" i="37"/>
  <c r="K9" i="37" s="1"/>
  <c r="G14" i="37"/>
  <c r="K14" i="37" s="1"/>
  <c r="G5" i="37"/>
  <c r="K5" i="37" s="1"/>
  <c r="G7" i="37"/>
  <c r="K7" i="37" s="1"/>
  <c r="G10" i="37"/>
  <c r="K10" i="37" s="1"/>
  <c r="G15" i="37"/>
  <c r="K15" i="37" s="1"/>
  <c r="G6" i="37"/>
  <c r="K6" i="37" s="1"/>
  <c r="G13" i="37"/>
  <c r="K13" i="37" s="1"/>
  <c r="G4" i="37"/>
  <c r="K4" i="37" s="1"/>
  <c r="G16" i="37"/>
  <c r="K16" i="37" s="1"/>
  <c r="G11" i="39"/>
  <c r="K11" i="39" s="1"/>
  <c r="G8" i="39"/>
  <c r="G16" i="39"/>
  <c r="M4" i="36"/>
  <c r="M27" i="36"/>
  <c r="L4" i="36"/>
  <c r="L25" i="36"/>
  <c r="L24" i="36"/>
  <c r="J7" i="36"/>
  <c r="J19" i="36"/>
  <c r="J22" i="36"/>
  <c r="O26" i="36"/>
  <c r="J6" i="36"/>
  <c r="J13" i="36"/>
  <c r="J16" i="36"/>
  <c r="J5" i="36"/>
  <c r="E30" i="27"/>
  <c r="G30" i="27" s="1"/>
  <c r="G17" i="33"/>
  <c r="G16" i="33"/>
  <c r="G8" i="33"/>
  <c r="G15" i="33"/>
  <c r="G7" i="33"/>
  <c r="G5" i="33"/>
  <c r="G6" i="33"/>
  <c r="G9" i="33"/>
  <c r="G14" i="33"/>
  <c r="G4" i="33"/>
  <c r="G10" i="33"/>
  <c r="G11" i="33"/>
  <c r="G12" i="33"/>
  <c r="G13" i="33"/>
  <c r="N2" i="27"/>
  <c r="P2" i="27" s="1"/>
  <c r="R2" i="27" s="1"/>
  <c r="T2" i="27" s="1"/>
  <c r="V2" i="27" s="1"/>
  <c r="X2" i="27" s="1"/>
  <c r="Z2" i="27" s="1"/>
  <c r="AB2" i="27" s="1"/>
  <c r="AD2" i="27" s="1"/>
  <c r="AF2" i="27" s="1"/>
  <c r="AH2" i="27" s="1"/>
  <c r="AJ2" i="27" s="1"/>
  <c r="AL2" i="27" s="1"/>
  <c r="AN2" i="27" s="1"/>
  <c r="AP2" i="27" s="1"/>
  <c r="AR2" i="27" s="1"/>
  <c r="AT2" i="27" s="1"/>
  <c r="AV2" i="27" s="1"/>
  <c r="AX2" i="27" s="1"/>
  <c r="AZ2" i="27" s="1"/>
  <c r="BB2" i="27" s="1"/>
  <c r="BD2" i="27" s="1"/>
  <c r="BF2" i="27" s="1"/>
  <c r="BH2" i="27" s="1"/>
  <c r="BJ2" i="27" s="1"/>
  <c r="BL2" i="27" s="1"/>
  <c r="BN2" i="27" s="1"/>
  <c r="BP2" i="27" s="1"/>
  <c r="BR2" i="27" s="1"/>
  <c r="BT2" i="27" s="1"/>
  <c r="BV2" i="27" s="1"/>
  <c r="BX2" i="27" s="1"/>
  <c r="BZ2" i="27" s="1"/>
  <c r="CB2" i="27" s="1"/>
  <c r="CD2" i="27" s="1"/>
  <c r="CF2" i="27" s="1"/>
  <c r="CH2" i="27" s="1"/>
  <c r="CJ2" i="27" s="1"/>
  <c r="CL2" i="27" s="1"/>
  <c r="CN2" i="27" s="1"/>
  <c r="CP2" i="27" s="1"/>
  <c r="CR2" i="27" s="1"/>
  <c r="CT2" i="27" s="1"/>
  <c r="CV2" i="27" s="1"/>
  <c r="CX2" i="27" s="1"/>
  <c r="CZ2" i="27" s="1"/>
  <c r="DB2" i="27" s="1"/>
  <c r="DD2" i="27" s="1"/>
  <c r="G21" i="29"/>
  <c r="G20" i="29"/>
  <c r="G6" i="29"/>
  <c r="G22" i="29"/>
  <c r="G19" i="29"/>
  <c r="G11" i="29"/>
  <c r="G10" i="29"/>
  <c r="E26" i="27"/>
  <c r="G26" i="27" s="1"/>
  <c r="G32" i="27"/>
  <c r="F22" i="24"/>
  <c r="F21" i="24"/>
  <c r="F18" i="24"/>
  <c r="F17" i="24"/>
  <c r="F16" i="24"/>
  <c r="F11" i="24"/>
  <c r="F10" i="24"/>
  <c r="F6" i="24"/>
  <c r="F7" i="24" s="1"/>
  <c r="C34" i="23" s="1"/>
  <c r="F24" i="25"/>
  <c r="F30" i="25"/>
  <c r="C51" i="23" s="1"/>
  <c r="C39" i="23"/>
  <c r="E3" i="18"/>
  <c r="E2" i="18"/>
  <c r="C2" i="18"/>
  <c r="H4" i="47" l="1"/>
  <c r="K4" i="47" s="1"/>
  <c r="H25" i="47"/>
  <c r="K25" i="47" s="1"/>
  <c r="G18" i="25"/>
  <c r="H12" i="47"/>
  <c r="K12" i="47" s="1"/>
  <c r="H13" i="47"/>
  <c r="K13" i="47" s="1"/>
  <c r="H18" i="47"/>
  <c r="K18" i="47" s="1"/>
  <c r="H14" i="47"/>
  <c r="K14" i="47" s="1"/>
  <c r="H15" i="47"/>
  <c r="K15" i="47" s="1"/>
  <c r="H19" i="47"/>
  <c r="K19" i="47" s="1"/>
  <c r="H17" i="47"/>
  <c r="K17" i="47" s="1"/>
  <c r="H21" i="47"/>
  <c r="K21" i="47" s="1"/>
  <c r="H20" i="47"/>
  <c r="K20" i="47" s="1"/>
  <c r="H7" i="47"/>
  <c r="K7" i="47" s="1"/>
  <c r="C47" i="23"/>
  <c r="C48" i="23"/>
  <c r="H6" i="47"/>
  <c r="K6" i="47" s="1"/>
  <c r="H9" i="47"/>
  <c r="K9" i="47" s="1"/>
  <c r="H23" i="47"/>
  <c r="K23" i="47" s="1"/>
  <c r="H24" i="47"/>
  <c r="K24" i="47" s="1"/>
  <c r="H11" i="47"/>
  <c r="K11" i="47" s="1"/>
  <c r="H16" i="47"/>
  <c r="K16" i="47" s="1"/>
  <c r="H22" i="47"/>
  <c r="K22" i="47" s="1"/>
  <c r="H5" i="47"/>
  <c r="K5" i="47" s="1"/>
  <c r="H8" i="47"/>
  <c r="K8" i="47" s="1"/>
  <c r="H26" i="47"/>
  <c r="K26" i="47" s="1"/>
  <c r="H10" i="47"/>
  <c r="K10" i="47" s="1"/>
  <c r="K19" i="33"/>
  <c r="K16" i="39"/>
  <c r="K24" i="33"/>
  <c r="K25" i="33"/>
  <c r="N8" i="36"/>
  <c r="O8" i="36" s="1"/>
  <c r="N5" i="36"/>
  <c r="O5" i="36" s="1"/>
  <c r="N21" i="36"/>
  <c r="O21" i="36" s="1"/>
  <c r="N20" i="36"/>
  <c r="O20" i="36" s="1"/>
  <c r="N12" i="36"/>
  <c r="O12" i="36" s="1"/>
  <c r="N27" i="36"/>
  <c r="O27" i="36" s="1"/>
  <c r="N19" i="36"/>
  <c r="O19" i="36" s="1"/>
  <c r="N22" i="36"/>
  <c r="O22" i="36" s="1"/>
  <c r="N24" i="36"/>
  <c r="O24" i="36" s="1"/>
  <c r="N25" i="36"/>
  <c r="O25" i="36" s="1"/>
  <c r="K9" i="46"/>
  <c r="L9" i="46" s="1"/>
  <c r="K11" i="46"/>
  <c r="L11" i="46" s="1"/>
  <c r="K12" i="46"/>
  <c r="L12" i="46" s="1"/>
  <c r="K17" i="46"/>
  <c r="L17" i="46" s="1"/>
  <c r="K15" i="46"/>
  <c r="L15" i="46" s="1"/>
  <c r="K10" i="46"/>
  <c r="L10" i="46" s="1"/>
  <c r="K19" i="46"/>
  <c r="L19" i="46" s="1"/>
  <c r="K16" i="46"/>
  <c r="L16" i="46" s="1"/>
  <c r="K14" i="46"/>
  <c r="L14" i="46" s="1"/>
  <c r="K13" i="46"/>
  <c r="L13" i="46" s="1"/>
  <c r="K20" i="46"/>
  <c r="L20" i="46" s="1"/>
  <c r="K5" i="33"/>
  <c r="K8" i="33"/>
  <c r="K12" i="33"/>
  <c r="P24" i="36"/>
  <c r="P23" i="36"/>
  <c r="C54" i="23"/>
  <c r="K13" i="33"/>
  <c r="C52" i="23"/>
  <c r="H20" i="50"/>
  <c r="K20" i="50" s="1"/>
  <c r="N13" i="51"/>
  <c r="H22" i="50"/>
  <c r="K22" i="50" s="1"/>
  <c r="H7" i="50"/>
  <c r="K7" i="50" s="1"/>
  <c r="N16" i="51"/>
  <c r="H8" i="50"/>
  <c r="K8" i="50" s="1"/>
  <c r="N17" i="51"/>
  <c r="H9" i="50"/>
  <c r="K9" i="50" s="1"/>
  <c r="H10" i="50"/>
  <c r="K10" i="50" s="1"/>
  <c r="N19" i="51"/>
  <c r="H11" i="50"/>
  <c r="K11" i="50" s="1"/>
  <c r="N20" i="51"/>
  <c r="N5" i="51"/>
  <c r="H13" i="50"/>
  <c r="K13" i="50" s="1"/>
  <c r="N6" i="51"/>
  <c r="N22" i="51"/>
  <c r="H14" i="50"/>
  <c r="K14" i="50" s="1"/>
  <c r="H5" i="50"/>
  <c r="K5" i="50" s="1"/>
  <c r="H21" i="50"/>
  <c r="K21" i="50" s="1"/>
  <c r="N14" i="51"/>
  <c r="H6" i="50"/>
  <c r="K6" i="50" s="1"/>
  <c r="N15" i="51"/>
  <c r="H23" i="50"/>
  <c r="K23" i="50" s="1"/>
  <c r="H24" i="50"/>
  <c r="K24" i="50" s="1"/>
  <c r="H25" i="50"/>
  <c r="K25" i="50" s="1"/>
  <c r="N18" i="51"/>
  <c r="H26" i="50"/>
  <c r="K26" i="50" s="1"/>
  <c r="H4" i="50"/>
  <c r="K4" i="50" s="1"/>
  <c r="H12" i="50"/>
  <c r="K12" i="50" s="1"/>
  <c r="N21" i="51"/>
  <c r="H17" i="50"/>
  <c r="K17" i="50" s="1"/>
  <c r="H18" i="50"/>
  <c r="K18" i="50" s="1"/>
  <c r="H19" i="50"/>
  <c r="K19" i="50" s="1"/>
  <c r="N7" i="51"/>
  <c r="N8" i="51"/>
  <c r="N9" i="51"/>
  <c r="N10" i="51"/>
  <c r="N11" i="51"/>
  <c r="N12" i="51"/>
  <c r="N23" i="51"/>
  <c r="N24" i="51"/>
  <c r="N25" i="51"/>
  <c r="N26" i="51"/>
  <c r="H15" i="50"/>
  <c r="K15" i="50" s="1"/>
  <c r="N4" i="51"/>
  <c r="H16" i="50"/>
  <c r="K16" i="50" s="1"/>
  <c r="N27" i="51"/>
  <c r="H19" i="41"/>
  <c r="K19" i="41" s="1"/>
  <c r="N12" i="49"/>
  <c r="N4" i="49"/>
  <c r="H5" i="41"/>
  <c r="K5" i="41" s="1"/>
  <c r="H21" i="41"/>
  <c r="K21" i="41" s="1"/>
  <c r="N14" i="49"/>
  <c r="H9" i="41"/>
  <c r="K9" i="41" s="1"/>
  <c r="H10" i="41"/>
  <c r="K10" i="41" s="1"/>
  <c r="H26" i="41"/>
  <c r="K26" i="41" s="1"/>
  <c r="N19" i="49"/>
  <c r="N20" i="49"/>
  <c r="H12" i="41"/>
  <c r="K12" i="41" s="1"/>
  <c r="N5" i="49"/>
  <c r="N21" i="49"/>
  <c r="H13" i="41"/>
  <c r="K13" i="41" s="1"/>
  <c r="N6" i="49"/>
  <c r="N22" i="49"/>
  <c r="H20" i="41"/>
  <c r="K20" i="41" s="1"/>
  <c r="N13" i="49"/>
  <c r="H6" i="41"/>
  <c r="K6" i="41" s="1"/>
  <c r="H22" i="41"/>
  <c r="K22" i="41" s="1"/>
  <c r="N15" i="49"/>
  <c r="H7" i="41"/>
  <c r="K7" i="41" s="1"/>
  <c r="H23" i="41"/>
  <c r="K23" i="41" s="1"/>
  <c r="N16" i="49"/>
  <c r="H8" i="41"/>
  <c r="K8" i="41" s="1"/>
  <c r="H24" i="41"/>
  <c r="K24" i="41" s="1"/>
  <c r="N17" i="49"/>
  <c r="H25" i="41"/>
  <c r="K25" i="41" s="1"/>
  <c r="N18" i="49"/>
  <c r="H11" i="41"/>
  <c r="K11" i="41" s="1"/>
  <c r="H4" i="41"/>
  <c r="K4" i="41" s="1"/>
  <c r="H15" i="41"/>
  <c r="K15" i="41" s="1"/>
  <c r="H16" i="41"/>
  <c r="K16" i="41" s="1"/>
  <c r="H17" i="41"/>
  <c r="K17" i="41" s="1"/>
  <c r="H18" i="41"/>
  <c r="K18" i="41" s="1"/>
  <c r="N7" i="49"/>
  <c r="N8" i="49"/>
  <c r="N9" i="49"/>
  <c r="N10" i="49"/>
  <c r="N11" i="49"/>
  <c r="N23" i="49"/>
  <c r="N24" i="49"/>
  <c r="N25" i="49"/>
  <c r="N26" i="49"/>
  <c r="H14" i="41"/>
  <c r="K14" i="41" s="1"/>
  <c r="N27" i="49"/>
  <c r="P4" i="36"/>
  <c r="K14" i="39"/>
  <c r="K10" i="39"/>
  <c r="K4" i="39"/>
  <c r="K9" i="33"/>
  <c r="K6" i="33"/>
  <c r="K7" i="33"/>
  <c r="P5" i="36"/>
  <c r="P16" i="36"/>
  <c r="K14" i="33"/>
  <c r="K11" i="33"/>
  <c r="P13" i="36"/>
  <c r="K4" i="33"/>
  <c r="K8" i="39"/>
  <c r="K16" i="33"/>
  <c r="K6" i="39"/>
  <c r="K17" i="39"/>
  <c r="K15" i="33"/>
  <c r="P19" i="36"/>
  <c r="K17" i="33"/>
  <c r="P7" i="36"/>
  <c r="C50" i="23"/>
  <c r="P6" i="36"/>
  <c r="K10" i="33"/>
  <c r="K5" i="39"/>
  <c r="K12" i="39"/>
  <c r="P22" i="36"/>
  <c r="K13" i="39"/>
  <c r="G26" i="29"/>
  <c r="N4" i="36"/>
  <c r="O4" i="36" s="1"/>
  <c r="O6" i="36"/>
  <c r="G6" i="27"/>
  <c r="G8" i="27"/>
  <c r="G10" i="27"/>
  <c r="G7" i="27"/>
  <c r="G9" i="27"/>
  <c r="G5" i="27"/>
  <c r="G11" i="27"/>
  <c r="F24" i="24"/>
  <c r="C35" i="23" s="1"/>
  <c r="G35" i="23" s="1"/>
  <c r="F19" i="24"/>
  <c r="C36" i="23" s="1"/>
  <c r="G36" i="23" s="1"/>
  <c r="F12" i="24"/>
  <c r="C33" i="23" s="1"/>
  <c r="C49" i="23"/>
  <c r="J3" i="19"/>
  <c r="J4" i="19"/>
  <c r="J5" i="19"/>
  <c r="J6" i="19"/>
  <c r="J7" i="19"/>
  <c r="J8" i="19"/>
  <c r="J9" i="19"/>
  <c r="J10" i="19"/>
  <c r="J11" i="19"/>
  <c r="J2" i="19"/>
  <c r="C3" i="18"/>
  <c r="G4" i="27" l="1"/>
  <c r="D19" i="11"/>
  <c r="E77" i="1" l="1"/>
  <c r="E73" i="1"/>
  <c r="E69" i="1"/>
  <c r="E63" i="1"/>
  <c r="E54" i="1"/>
  <c r="E43" i="1"/>
  <c r="E36" i="1"/>
  <c r="E29" i="1"/>
  <c r="E19" i="1"/>
  <c r="E12" i="1"/>
  <c r="E2" i="1" l="1"/>
  <c r="E3" i="1"/>
  <c r="E79" i="1"/>
  <c r="B3" i="19" l="1"/>
  <c r="D33" i="23"/>
  <c r="E33" i="23" s="1"/>
  <c r="G33" i="23" s="1"/>
  <c r="D49" i="23"/>
  <c r="E49" i="23" s="1"/>
  <c r="G49" i="23" s="1"/>
  <c r="D45" i="23"/>
  <c r="E45" i="23" s="1"/>
  <c r="G45" i="23" s="1"/>
  <c r="D47" i="23"/>
  <c r="E47" i="23" s="1"/>
  <c r="G47" i="23" s="1"/>
  <c r="C24" i="23"/>
  <c r="D34" i="23"/>
  <c r="E34" i="23" s="1"/>
  <c r="G34" i="23" s="1"/>
  <c r="D51" i="23"/>
  <c r="E51" i="23" s="1"/>
  <c r="G51" i="23" s="1"/>
  <c r="D39" i="23"/>
  <c r="F3" i="1"/>
  <c r="D48" i="23"/>
  <c r="E48" i="23" s="1"/>
  <c r="G48" i="23" s="1"/>
  <c r="D36" i="23"/>
  <c r="C25" i="23"/>
  <c r="B2" i="19"/>
  <c r="D35" i="23"/>
  <c r="D52" i="23"/>
  <c r="E52" i="23" s="1"/>
  <c r="G52" i="23" s="1"/>
  <c r="D40" i="23"/>
  <c r="D50" i="23"/>
  <c r="E50" i="23" s="1"/>
  <c r="G50" i="23" s="1"/>
  <c r="D42" i="23"/>
  <c r="E42" i="23" s="1"/>
  <c r="G42" i="23" s="1"/>
  <c r="D46" i="23"/>
  <c r="E46" i="23" s="1"/>
  <c r="G46" i="23" s="1"/>
  <c r="F2" i="1"/>
  <c r="E4" i="1"/>
  <c r="B1" i="19" s="1"/>
  <c r="B7" i="19" l="1"/>
  <c r="B14" i="19"/>
  <c r="C23" i="23" s="1"/>
  <c r="D54" i="23"/>
  <c r="E54" i="23" s="1"/>
  <c r="G54" i="23" s="1"/>
  <c r="E40" i="23"/>
  <c r="G40" i="23" s="1"/>
  <c r="D53" i="23"/>
  <c r="E53" i="23" s="1"/>
  <c r="G53" i="23" s="1"/>
  <c r="E39" i="23"/>
  <c r="G39" i="23" s="1"/>
  <c r="B13" i="19"/>
  <c r="C22" i="23" s="1"/>
  <c r="B4" i="19"/>
  <c r="B10" i="19"/>
  <c r="B15" i="19"/>
  <c r="B8" i="19" l="1"/>
  <c r="B9" i="19"/>
  <c r="C31" i="23"/>
  <c r="B5" i="19"/>
  <c r="B6" i="19"/>
  <c r="C30" i="23"/>
  <c r="B11" i="19"/>
  <c r="B12"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<sst xmlns="http://schemas.openxmlformats.org/spreadsheetml/2006/main" count="5812" uniqueCount="553">
  <si>
    <t>PO DATE</t>
  </si>
  <si>
    <t>PO NO</t>
  </si>
  <si>
    <t>Part #</t>
  </si>
  <si>
    <t>Description</t>
  </si>
  <si>
    <t>Quantity</t>
  </si>
  <si>
    <t>TOTAL</t>
  </si>
  <si>
    <t>ABS</t>
  </si>
  <si>
    <t>PP</t>
  </si>
  <si>
    <t>6223 BLK</t>
  </si>
  <si>
    <t>Sunglass, 6223 Black</t>
  </si>
  <si>
    <t>Mirror</t>
  </si>
  <si>
    <t>6223 NAV</t>
  </si>
  <si>
    <t>Sunglass, 6223 Navy</t>
  </si>
  <si>
    <t>6223 RED</t>
  </si>
  <si>
    <t>Sunglass, 6223 Red</t>
  </si>
  <si>
    <t>6223 ROY</t>
  </si>
  <si>
    <t>Sunglass, 6223 Royal</t>
  </si>
  <si>
    <t>6223 WHT</t>
  </si>
  <si>
    <t>Sunglass, 6223 White</t>
  </si>
  <si>
    <t>14-07-2025</t>
  </si>
  <si>
    <t>16-07-2025</t>
  </si>
  <si>
    <t>6224 BLUBLK</t>
  </si>
  <si>
    <t>Sunglass, 6224 2tone BlueBlack</t>
  </si>
  <si>
    <t>6224 BLUWHT</t>
  </si>
  <si>
    <t>Sunglass, 6224 2tone Bluewhite</t>
  </si>
  <si>
    <t>6224 LIMBLK</t>
  </si>
  <si>
    <t>Sunglass, 6224 2tone limeblack</t>
  </si>
  <si>
    <t>6224 ORNBLK</t>
  </si>
  <si>
    <t>Sunglass, 6224 2tone orangeblack</t>
  </si>
  <si>
    <t>6224 ORNWHT</t>
  </si>
  <si>
    <t>Sunglass, 6224 2tone orangewhite</t>
  </si>
  <si>
    <t>6224 REDBLK</t>
  </si>
  <si>
    <t>Sunglass, 6224 2tone redblack</t>
  </si>
  <si>
    <t>6224 REDWHT</t>
  </si>
  <si>
    <t>Sunglass, 6224 2tone redwhite</t>
  </si>
  <si>
    <t>6224 YELBLK</t>
  </si>
  <si>
    <t>Sunglass, 6224 2tone yellowblack</t>
  </si>
  <si>
    <t>6207CLRBLU</t>
  </si>
  <si>
    <t>Sunglass, Clear W/Blue Lenses</t>
  </si>
  <si>
    <t>6207CLRGRN</t>
  </si>
  <si>
    <t>Sunglass, Clear W/Green Lenses</t>
  </si>
  <si>
    <t>6207CLRRED</t>
  </si>
  <si>
    <t>Sunglass, Clear W/Red Lenses</t>
  </si>
  <si>
    <t>6207CLRSIL</t>
  </si>
  <si>
    <t>Sunglass, Clear W/Silver Lenses</t>
  </si>
  <si>
    <t>6207CLRYEL</t>
  </si>
  <si>
    <t>Sunglass, Clear W/Yellow Lenses</t>
  </si>
  <si>
    <t>6223BRTYEL</t>
  </si>
  <si>
    <t>Sunglass, 6223, Bright Yellow</t>
  </si>
  <si>
    <t>6223CBL</t>
  </si>
  <si>
    <t>Sunglass, 6223, Light Blue</t>
  </si>
  <si>
    <t>6223GRA</t>
  </si>
  <si>
    <t>Sunglass, 6223, Gray</t>
  </si>
  <si>
    <t>6223GRK</t>
  </si>
  <si>
    <t>Sunglass, 6223, Kelly Green</t>
  </si>
  <si>
    <t>6223PUR</t>
  </si>
  <si>
    <t>Sunglass, 6223, Purple</t>
  </si>
  <si>
    <t>21-07-2025</t>
  </si>
  <si>
    <t xml:space="preserve">4000 BLK </t>
  </si>
  <si>
    <t xml:space="preserve">Sunglass, Black Frame, Black Temple </t>
  </si>
  <si>
    <t>4000 BLU</t>
  </si>
  <si>
    <t xml:space="preserve">Sunglass, Rubberised Blue </t>
  </si>
  <si>
    <t>4000 BLUBLU</t>
  </si>
  <si>
    <t xml:space="preserve">Sunglass, Blue Frame, Blue Temple </t>
  </si>
  <si>
    <t>4000 GRN</t>
  </si>
  <si>
    <t>Sunglass, Rubberised Green</t>
  </si>
  <si>
    <t>4000 GRNGRN</t>
  </si>
  <si>
    <t xml:space="preserve">Sunglass, Green Frame, Green Temple </t>
  </si>
  <si>
    <t>4000 RED</t>
  </si>
  <si>
    <t>Sunglass, Rubberised Red</t>
  </si>
  <si>
    <t>4000 REDRED</t>
  </si>
  <si>
    <t xml:space="preserve">Sunglass, Red Frame, Red Temple </t>
  </si>
  <si>
    <t>4000 WHT</t>
  </si>
  <si>
    <t>Sunglass, Rubberised White</t>
  </si>
  <si>
    <t>4000 WHTWHT</t>
  </si>
  <si>
    <t xml:space="preserve">Sunglass, White Frame, White Temple </t>
  </si>
  <si>
    <t>4000 GRA</t>
  </si>
  <si>
    <t>Sunglass Black Frame/Gray Temple</t>
  </si>
  <si>
    <t>4000 MARMAR</t>
  </si>
  <si>
    <t>Sunglass Mar Frame/MAR Temple</t>
  </si>
  <si>
    <t>4000 ORN</t>
  </si>
  <si>
    <t>Rubberised Sunglasses Orange</t>
  </si>
  <si>
    <t>4000 ORNORN</t>
  </si>
  <si>
    <t>Sunglass Orange Frame/ORN Temple</t>
  </si>
  <si>
    <t>4000 PURPUR</t>
  </si>
  <si>
    <t>Sunglass PUR Frame/PUR Temple</t>
  </si>
  <si>
    <t>4000 WHTBLU</t>
  </si>
  <si>
    <t>Sunglass WHT Frame/BLU Temple</t>
  </si>
  <si>
    <t>4000 WHTRED</t>
  </si>
  <si>
    <t>Sunglass WHT Frame/RED Temple</t>
  </si>
  <si>
    <t>6208WHTBLU</t>
  </si>
  <si>
    <t>Sunglass, WHT W/BLU Mirror lens</t>
  </si>
  <si>
    <t>6208WHTGRN</t>
  </si>
  <si>
    <t>Sunglass, WHT W/GRN Mirror lens</t>
  </si>
  <si>
    <t>6208WHTSIL</t>
  </si>
  <si>
    <t>Sunglass, WHT W/SIL Mirror lens</t>
  </si>
  <si>
    <t>6208WHTYEL</t>
  </si>
  <si>
    <t>Sunglass, WHT W/YEL Mirror lens</t>
  </si>
  <si>
    <t>4001BLKBLU</t>
  </si>
  <si>
    <t>Glasses, BLKBLU W/BLU Tint Lens</t>
  </si>
  <si>
    <t>4001BLKORN</t>
  </si>
  <si>
    <t>Glasses, BLKORN W/ORN Tint Lens</t>
  </si>
  <si>
    <t>3991NEONBLUBLK</t>
  </si>
  <si>
    <t>Sunglass Blue Frame/Black Arms</t>
  </si>
  <si>
    <t>3991NEONORNBLK</t>
  </si>
  <si>
    <t>Sunglass Orange Frame/Black Arms</t>
  </si>
  <si>
    <t>Sunglasses</t>
  </si>
  <si>
    <t>Lens Colour</t>
  </si>
  <si>
    <t>Lens Material</t>
  </si>
  <si>
    <t>PC</t>
  </si>
  <si>
    <t>Lens Mono/2Tone/Mirror/Tinted</t>
  </si>
  <si>
    <t>Black</t>
  </si>
  <si>
    <t>Blue</t>
  </si>
  <si>
    <t>White</t>
  </si>
  <si>
    <t>Lime</t>
  </si>
  <si>
    <t>Orange</t>
  </si>
  <si>
    <t>Red</t>
  </si>
  <si>
    <t>Yellow</t>
  </si>
  <si>
    <t>Monotone</t>
  </si>
  <si>
    <t>Rubberised</t>
  </si>
  <si>
    <t>Green</t>
  </si>
  <si>
    <t>Grey</t>
  </si>
  <si>
    <t>Mar</t>
  </si>
  <si>
    <t>Purple</t>
  </si>
  <si>
    <t>Tinted</t>
  </si>
  <si>
    <t>Clear</t>
  </si>
  <si>
    <t>Silver</t>
  </si>
  <si>
    <t>Bright Yellow</t>
  </si>
  <si>
    <t>Light Blue</t>
  </si>
  <si>
    <t>Gray</t>
  </si>
  <si>
    <t>Kelly Green</t>
  </si>
  <si>
    <t>Navy</t>
  </si>
  <si>
    <t>Royal</t>
  </si>
  <si>
    <t>Rivet Material</t>
  </si>
  <si>
    <t>Screw Material</t>
  </si>
  <si>
    <t>Frame Width</t>
  </si>
  <si>
    <t>Temple Length</t>
  </si>
  <si>
    <t>Lens width</t>
  </si>
  <si>
    <t>Frame height</t>
  </si>
  <si>
    <t>Zinc Alloy</t>
  </si>
  <si>
    <t>Stainless Steel</t>
  </si>
  <si>
    <t>Weight +-2%</t>
  </si>
  <si>
    <t>20.15 gm</t>
  </si>
  <si>
    <t>19.6 gm</t>
  </si>
  <si>
    <t>140 mm</t>
  </si>
  <si>
    <t>153 mm</t>
  </si>
  <si>
    <t>48.5 mm</t>
  </si>
  <si>
    <t>Lens Height</t>
  </si>
  <si>
    <t>44 mm</t>
  </si>
  <si>
    <t>53.5 mm</t>
  </si>
  <si>
    <t>145.6 mm</t>
  </si>
  <si>
    <t>49 mm</t>
  </si>
  <si>
    <t>156 mm</t>
  </si>
  <si>
    <t>52.7 mm</t>
  </si>
  <si>
    <t>43.8 mm</t>
  </si>
  <si>
    <t>Black 6C</t>
  </si>
  <si>
    <t>648C</t>
  </si>
  <si>
    <t>1807C</t>
  </si>
  <si>
    <t>2746C</t>
  </si>
  <si>
    <t>WHITE</t>
  </si>
  <si>
    <t>2187C</t>
  </si>
  <si>
    <t>368C</t>
  </si>
  <si>
    <t>1655C</t>
  </si>
  <si>
    <t>201C</t>
  </si>
  <si>
    <t>107C</t>
  </si>
  <si>
    <t>7405C</t>
  </si>
  <si>
    <t>14-4318 TCX</t>
  </si>
  <si>
    <t>Cool Gray 8C</t>
  </si>
  <si>
    <t>342C</t>
  </si>
  <si>
    <t>2077C</t>
  </si>
  <si>
    <t>Black C</t>
  </si>
  <si>
    <t>2144C</t>
  </si>
  <si>
    <t>2270C</t>
  </si>
  <si>
    <t>7628C</t>
  </si>
  <si>
    <t>423C</t>
  </si>
  <si>
    <t>7428C</t>
  </si>
  <si>
    <t>1645C</t>
  </si>
  <si>
    <t>267C</t>
  </si>
  <si>
    <t>2174c</t>
  </si>
  <si>
    <t>Temple Pantone</t>
  </si>
  <si>
    <t>Frame Pantone</t>
  </si>
  <si>
    <t>Temple Outside Pantone</t>
  </si>
  <si>
    <t>Frame Inside Pantone</t>
  </si>
  <si>
    <t xml:space="preserve">Regular Monotone </t>
  </si>
  <si>
    <t>Temple</t>
  </si>
  <si>
    <t>Frame</t>
  </si>
  <si>
    <t>Pantone Code</t>
  </si>
  <si>
    <t>No. of Painted parts</t>
  </si>
  <si>
    <t>Lacquer Required (1:1 for paint)</t>
  </si>
  <si>
    <t>Paint required (KG)</t>
  </si>
  <si>
    <t>No of Units to be packed</t>
  </si>
  <si>
    <t>PO Wise Cartons Requirement</t>
  </si>
  <si>
    <t>Inner Bags Quantity</t>
  </si>
  <si>
    <t>Thickness of Inner bag</t>
  </si>
  <si>
    <t>40 Micron</t>
  </si>
  <si>
    <t>Length of Inner bag</t>
  </si>
  <si>
    <t>240 MM</t>
  </si>
  <si>
    <t>Width of Inner bag</t>
  </si>
  <si>
    <t>187 MM</t>
  </si>
  <si>
    <t>Packing Tape (30 mm wide, 65 metre rolls)</t>
  </si>
  <si>
    <t>150 pcs</t>
  </si>
  <si>
    <t>box dimension</t>
  </si>
  <si>
    <t>75x18x31 Cm</t>
  </si>
  <si>
    <t>Large partition dimension</t>
  </si>
  <si>
    <t>75x18 Cm</t>
  </si>
  <si>
    <t>18 x31 Cm</t>
  </si>
  <si>
    <t>Small partition dimension</t>
  </si>
  <si>
    <t>Process</t>
  </si>
  <si>
    <t>Stage 1</t>
  </si>
  <si>
    <t>Mold development</t>
  </si>
  <si>
    <t>Mold Trail Done</t>
  </si>
  <si>
    <t>Mold manufactured</t>
  </si>
  <si>
    <t>Mold Dispatched</t>
  </si>
  <si>
    <t>Arrival on 11th  at factory</t>
  </si>
  <si>
    <t>Trail run for all to be done by 15th</t>
  </si>
  <si>
    <t xml:space="preserve">Molding to start  </t>
  </si>
  <si>
    <t>Molding finish date</t>
  </si>
  <si>
    <t>Stage 2</t>
  </si>
  <si>
    <t>Stage 3</t>
  </si>
  <si>
    <t>Stage 4</t>
  </si>
  <si>
    <t>Stage 5</t>
  </si>
  <si>
    <t>Stage 6</t>
  </si>
  <si>
    <t>Stage 7</t>
  </si>
  <si>
    <t>Stage 8</t>
  </si>
  <si>
    <t>Painting machine setup</t>
  </si>
  <si>
    <t>Order placed</t>
  </si>
  <si>
    <t>Maachine dispatched</t>
  </si>
  <si>
    <t>Arrival on 11th at factory</t>
  </si>
  <si>
    <t>Trail Run to be done by 18th for all with assembly</t>
  </si>
  <si>
    <t>Painting to start</t>
  </si>
  <si>
    <t>Painting Finish date</t>
  </si>
  <si>
    <t>Raw Material order - ABS and PP</t>
  </si>
  <si>
    <t>GIS compliant supplier to be selected for material sourcing - 1st November</t>
  </si>
  <si>
    <t>Order to be placed - 03rd</t>
  </si>
  <si>
    <t>Arrival date - confirm from vendor</t>
  </si>
  <si>
    <t>Raw Material order - Master batch</t>
  </si>
  <si>
    <t xml:space="preserve">Quantity calculated as per trial </t>
  </si>
  <si>
    <t>Raw Material painting</t>
  </si>
  <si>
    <t>GIS compliant supplier to be selected for material sourcing - 1st November - Might not be available for paints</t>
  </si>
  <si>
    <t>Packing material - Box</t>
  </si>
  <si>
    <t>Sample has been requested - ETA is 31st October</t>
  </si>
  <si>
    <t>Confirmation of sample to be done by 1st November</t>
  </si>
  <si>
    <t>Box artwork to be confirmed with buyer - 7th November</t>
  </si>
  <si>
    <t>Order to placed - Post approval</t>
  </si>
  <si>
    <t>Sample to be ordered - ETA is 31st october</t>
  </si>
  <si>
    <t>Packing material - Polybag</t>
  </si>
  <si>
    <t>Order to be placed post confirmation of samples</t>
  </si>
  <si>
    <t>Approval/ Certificates</t>
  </si>
  <si>
    <t>Status</t>
  </si>
  <si>
    <t>update</t>
  </si>
  <si>
    <t>BOM approval from buyer</t>
  </si>
  <si>
    <t>Not approved</t>
  </si>
  <si>
    <t>Mail sent on 13th October
Reminder sent on 24th, 25th and 29th to paul, no response</t>
  </si>
  <si>
    <t>Production plan</t>
  </si>
  <si>
    <t>Not created</t>
  </si>
  <si>
    <t>Need hourly output and machine specs from china unit to confirm the cycle time for painting. Post that production plan will be created</t>
  </si>
  <si>
    <t>Critical dates</t>
  </si>
  <si>
    <t>Get all samples ready and send it for certification and client testing</t>
  </si>
  <si>
    <t>Spray painting mask</t>
  </si>
  <si>
    <t>Cycle time calculated and mask requirement given</t>
  </si>
  <si>
    <t>Mask order has been placed</t>
  </si>
  <si>
    <t>ETA for it to be shipped is 30th December.</t>
  </si>
  <si>
    <t>Responsible</t>
  </si>
  <si>
    <t>Paul Poole</t>
  </si>
  <si>
    <t>Time Required</t>
  </si>
  <si>
    <t>Priority level</t>
  </si>
  <si>
    <t>NA</t>
  </si>
  <si>
    <t>Critical</t>
  </si>
  <si>
    <t>Raw material order - ABS and PP</t>
  </si>
  <si>
    <t>In process</t>
  </si>
  <si>
    <t>10 days</t>
  </si>
  <si>
    <t>Urgent</t>
  </si>
  <si>
    <t>Raw material order - Master batch</t>
  </si>
  <si>
    <t>Ops and Production</t>
  </si>
  <si>
    <t xml:space="preserve">WIP, need to order them according to GRS requirement,orders need to be placed for ABS Natural for lighter colors, for darker colors, will use regrinded abs. </t>
  </si>
  <si>
    <t>Raw material order - Paint</t>
  </si>
  <si>
    <t>Ops and Paint shop team</t>
  </si>
  <si>
    <t>15 days</t>
  </si>
  <si>
    <t>WIP, need to order them according to GRS requirement,order for sample has been given to vendor, need to verify their GRS</t>
  </si>
  <si>
    <t>WIP, need to order them according to GRS requirement, no clear data available for GRS in paint, order for sample has been given to vendor.</t>
  </si>
  <si>
    <t>last update date</t>
  </si>
  <si>
    <t>29th October</t>
  </si>
  <si>
    <t>30th October</t>
  </si>
  <si>
    <t>GRS test report</t>
  </si>
  <si>
    <t>Compliance team</t>
  </si>
  <si>
    <t>not started</t>
  </si>
  <si>
    <t>Will be done once the production starts as it needs sample to be sent for certification</t>
  </si>
  <si>
    <t>QR code</t>
  </si>
  <si>
    <t>Edsel and compliance team</t>
  </si>
  <si>
    <t>Packaging - outer carton</t>
  </si>
  <si>
    <t>Ops team</t>
  </si>
  <si>
    <t>Medium</t>
  </si>
  <si>
    <t>Product Specs</t>
  </si>
  <si>
    <t>75 * 18 *31 CM 5 ply box with 4 partition liners and 2 cover liners in 3 ply</t>
  </si>
  <si>
    <t>Packaging - inner package</t>
  </si>
  <si>
    <t>Start Date</t>
  </si>
  <si>
    <t>End Date</t>
  </si>
  <si>
    <t>UV 400 Certification</t>
  </si>
  <si>
    <t>25th November</t>
  </si>
  <si>
    <t>packagae sample has been f=given to vendor, he will develop and inform is</t>
  </si>
  <si>
    <t>carton sample has been ordered, the vendors GRS certification needs to be checked, ETD is 31-10-2025</t>
  </si>
  <si>
    <t>240x187 mm in 40 micron thickness</t>
  </si>
  <si>
    <t>13 days</t>
  </si>
  <si>
    <t>Vendor Details</t>
  </si>
  <si>
    <t>Polybag</t>
  </si>
  <si>
    <t>Ashwin</t>
  </si>
  <si>
    <t>Name</t>
  </si>
  <si>
    <t>Has GRS</t>
  </si>
  <si>
    <t>Yes</t>
  </si>
  <si>
    <t>Contact</t>
  </si>
  <si>
    <t>Ductile</t>
  </si>
  <si>
    <t>Shakti plastic</t>
  </si>
  <si>
    <t>Lakhotia Polybag</t>
  </si>
  <si>
    <t>No</t>
  </si>
  <si>
    <t>Masterbatch</t>
  </si>
  <si>
    <t>Polyblend</t>
  </si>
  <si>
    <t>QR Code</t>
  </si>
  <si>
    <t>Vasant Label</t>
  </si>
  <si>
    <t>Siddh Chemiplast</t>
  </si>
  <si>
    <t>Color</t>
  </si>
  <si>
    <t>Thinner</t>
  </si>
  <si>
    <t>lacquer (kg)</t>
  </si>
  <si>
    <t>Thinner (litre)</t>
  </si>
  <si>
    <t>mold no.</t>
  </si>
  <si>
    <t>Cavity</t>
  </si>
  <si>
    <t>Cycle time</t>
  </si>
  <si>
    <t>No. of Pieces</t>
  </si>
  <si>
    <t>is set</t>
  </si>
  <si>
    <t>output per day</t>
  </si>
  <si>
    <t>per minute</t>
  </si>
  <si>
    <t>per hour</t>
  </si>
  <si>
    <t>per day</t>
  </si>
  <si>
    <t>7029-1</t>
  </si>
  <si>
    <t>7030-1</t>
  </si>
  <si>
    <t>7031-1</t>
  </si>
  <si>
    <t>7029-2</t>
  </si>
  <si>
    <t>7030-2</t>
  </si>
  <si>
    <t>7031-2</t>
  </si>
  <si>
    <t>7032-1</t>
  </si>
  <si>
    <t>7033-1</t>
  </si>
  <si>
    <t>7034-1</t>
  </si>
  <si>
    <t>7032-2</t>
  </si>
  <si>
    <t>7033-2</t>
  </si>
  <si>
    <t>7034-3</t>
  </si>
  <si>
    <t>`</t>
  </si>
  <si>
    <t>Molding</t>
  </si>
  <si>
    <t>Sub Process</t>
  </si>
  <si>
    <t>PP Temple Molding</t>
  </si>
  <si>
    <t>PP Frame Molding</t>
  </si>
  <si>
    <t>ABS Temple Molding</t>
  </si>
  <si>
    <t>ABS Frame Molding</t>
  </si>
  <si>
    <t>Target Output</t>
  </si>
  <si>
    <t>No. of Days Required</t>
  </si>
  <si>
    <t>Assembly</t>
  </si>
  <si>
    <t>Painting</t>
  </si>
  <si>
    <t>Spray Painting (Lacquer)</t>
  </si>
  <si>
    <t>Riveting</t>
  </si>
  <si>
    <t>PPS</t>
  </si>
  <si>
    <t>Material dispatch for testing - PPS</t>
  </si>
  <si>
    <t>Material dispatch for testing - Honkong</t>
  </si>
  <si>
    <t>Machine Setup</t>
  </si>
  <si>
    <t>Spray Painting Machine</t>
  </si>
  <si>
    <t>Riveting Machine</t>
  </si>
  <si>
    <t>Screwing Machine</t>
  </si>
  <si>
    <t>Laser Marking Machine</t>
  </si>
  <si>
    <t>RM and packaging Order</t>
  </si>
  <si>
    <t>Lacquer</t>
  </si>
  <si>
    <t>Screwing - PP</t>
  </si>
  <si>
    <t>Screwing - ABS</t>
  </si>
  <si>
    <t>Spray painting (dual Tone)</t>
  </si>
  <si>
    <t>Per Minute</t>
  </si>
  <si>
    <t>Per Hour</t>
  </si>
  <si>
    <t>Per day</t>
  </si>
  <si>
    <t>Total  Output</t>
  </si>
  <si>
    <t>No. of machine/ Manpower</t>
  </si>
  <si>
    <t>Outer Package packing</t>
  </si>
  <si>
    <t>Inner Polybag Packing - 6 in 1 - PP</t>
  </si>
  <si>
    <t>Inner Polybag Packing - 6 in 1 - ABS</t>
  </si>
  <si>
    <t>Lens Fitting (pair) - PP</t>
  </si>
  <si>
    <t>Label Sticking - PP</t>
  </si>
  <si>
    <t>Label Sticking - ABS</t>
  </si>
  <si>
    <t>Lens Fitting (pair) - ABS</t>
  </si>
  <si>
    <t>Riveting - PP</t>
  </si>
  <si>
    <t>Riveting - ABS</t>
  </si>
  <si>
    <t>Laser Marking - PP</t>
  </si>
  <si>
    <t>Laser Marking - ABS</t>
  </si>
  <si>
    <t>Thinner for Lacquer</t>
  </si>
  <si>
    <t>Drop Ball Test</t>
  </si>
  <si>
    <t>20 days</t>
  </si>
  <si>
    <t>Will be reviewd on the basis of feedback received from customer and our internal disucssion on the report received from the manufactuer. If it is not upto the mark, then we will do our own Test</t>
  </si>
  <si>
    <t>ASTM F963/ CPSIA</t>
  </si>
  <si>
    <t>GUDID</t>
  </si>
  <si>
    <t>will be done once we receive the QR code</t>
  </si>
  <si>
    <t>As informed by deepak, the process for QR code registration has been started by edsel, process has been intianed, has be send to FDA team for approval</t>
  </si>
  <si>
    <t>PP dispatch date</t>
  </si>
  <si>
    <t>ABS dispatch date</t>
  </si>
  <si>
    <t>Paint</t>
  </si>
  <si>
    <t>Carton - PP</t>
  </si>
  <si>
    <t>Carton - ABS</t>
  </si>
  <si>
    <t>UV Label - PP</t>
  </si>
  <si>
    <t>UV Label - ABS</t>
  </si>
  <si>
    <t>Plastic Polybag - PP</t>
  </si>
  <si>
    <t>Plastic Polybag - ABS</t>
  </si>
  <si>
    <t>PP to be packed</t>
  </si>
  <si>
    <t>ABS to be packed</t>
  </si>
  <si>
    <t>No. of Cartons - PP</t>
  </si>
  <si>
    <t>No of Small Partition - PP</t>
  </si>
  <si>
    <t>No. of Large Partition - PP</t>
  </si>
  <si>
    <t>No. of Cartons - ABS</t>
  </si>
  <si>
    <t>No of Small Partition - ABS</t>
  </si>
  <si>
    <t>No. of Large Partition - ABS</t>
  </si>
  <si>
    <t>No. of Cartons - Total</t>
  </si>
  <si>
    <t>No of Small Partition - Toral</t>
  </si>
  <si>
    <t>No. of Large Partition - Total</t>
  </si>
  <si>
    <t>Inner Bag - PP</t>
  </si>
  <si>
    <t>Inner Bag - ABS</t>
  </si>
  <si>
    <t>Daily Output / Required Material</t>
  </si>
  <si>
    <t>M-ABS (Transparent ABS)</t>
  </si>
  <si>
    <t>Material</t>
  </si>
  <si>
    <t>Order Qty</t>
  </si>
  <si>
    <t>Done Till Date</t>
  </si>
  <si>
    <t>Pending</t>
  </si>
  <si>
    <t>Mold</t>
  </si>
  <si>
    <t>Daily Capacity</t>
  </si>
  <si>
    <t>Days required to complete</t>
  </si>
  <si>
    <t>Planned</t>
  </si>
  <si>
    <t>Actual</t>
  </si>
  <si>
    <t>Day 1</t>
  </si>
  <si>
    <t>Day 2</t>
  </si>
  <si>
    <t>Day 3</t>
  </si>
  <si>
    <t>Day 4</t>
  </si>
  <si>
    <t>Day 5</t>
  </si>
  <si>
    <t>Day 6</t>
  </si>
  <si>
    <t>Day 7</t>
  </si>
  <si>
    <t>Day 8</t>
  </si>
  <si>
    <t>Day 9</t>
  </si>
  <si>
    <t>Day 10</t>
  </si>
  <si>
    <t>Day 11</t>
  </si>
  <si>
    <t>Day 12</t>
  </si>
  <si>
    <t>Day 13</t>
  </si>
  <si>
    <t>Day 14</t>
  </si>
  <si>
    <t>Day 15</t>
  </si>
  <si>
    <t>Day 16</t>
  </si>
  <si>
    <t>Day 17</t>
  </si>
  <si>
    <t>Day 18</t>
  </si>
  <si>
    <t>Day 19</t>
  </si>
  <si>
    <t>Day 20</t>
  </si>
  <si>
    <t>Day 21</t>
  </si>
  <si>
    <t>Day 22</t>
  </si>
  <si>
    <t>Day 23</t>
  </si>
  <si>
    <t>Day 24</t>
  </si>
  <si>
    <t>Day 25</t>
  </si>
  <si>
    <t>Day 26</t>
  </si>
  <si>
    <t>Day 27</t>
  </si>
  <si>
    <t>Day 28</t>
  </si>
  <si>
    <t>Day 29</t>
  </si>
  <si>
    <t>Day 30</t>
  </si>
  <si>
    <t>Day 31</t>
  </si>
  <si>
    <t>Day 32</t>
  </si>
  <si>
    <t>Day 33</t>
  </si>
  <si>
    <t>Day 34</t>
  </si>
  <si>
    <t>Day 35</t>
  </si>
  <si>
    <t>Day 36</t>
  </si>
  <si>
    <t>Day 37</t>
  </si>
  <si>
    <t>Day 38</t>
  </si>
  <si>
    <t>Day 39</t>
  </si>
  <si>
    <t>Day 40</t>
  </si>
  <si>
    <t>Day 41</t>
  </si>
  <si>
    <t>Day 42</t>
  </si>
  <si>
    <t>Day 43</t>
  </si>
  <si>
    <t>Day 44</t>
  </si>
  <si>
    <t>Day 45</t>
  </si>
  <si>
    <t>Day 46</t>
  </si>
  <si>
    <t>Day 47</t>
  </si>
  <si>
    <t>Day 48</t>
  </si>
  <si>
    <t>Day 49</t>
  </si>
  <si>
    <t>Day 50</t>
  </si>
  <si>
    <t>Day 51</t>
  </si>
  <si>
    <t>Temple(value is for set, not a single piece)</t>
  </si>
  <si>
    <t>Daily Capacity (Each Piece)</t>
  </si>
  <si>
    <t>Paint Sampling</t>
  </si>
  <si>
    <t>Dispatch and Receipt</t>
  </si>
  <si>
    <t>Comment</t>
  </si>
  <si>
    <t>received</t>
  </si>
  <si>
    <t>Ongoing</t>
  </si>
  <si>
    <t>testing is being done by the paint team, will try on received glasses tomorrow</t>
  </si>
  <si>
    <t>testing</t>
  </si>
  <si>
    <t>ABS and PP trials</t>
  </si>
  <si>
    <t>Trail of PP with master batch</t>
  </si>
  <si>
    <t>Samples dispatch from Shakti Plastic - PP</t>
  </si>
  <si>
    <t>Samples dispatch from Shakti Plastic - ABS</t>
  </si>
  <si>
    <t>no started</t>
  </si>
  <si>
    <t>no dispatch details received from vendor, details awaited</t>
  </si>
  <si>
    <t>will be done post arrival of sample</t>
  </si>
  <si>
    <t>paint and lacquer received at factory
Trail has failed, test product and sample has been sent to the vendor - ICA for them to develop on the product.</t>
  </si>
  <si>
    <t>Currently, mixing the paint and lacquer is not workin as the paint is getting lumpy, ICA to provide new samples</t>
  </si>
  <si>
    <t>initiated</t>
  </si>
  <si>
    <t>new vendor - SBl coating is scheduled to visit on 08th. They will be coming with their lacqeur samples and testing will be done on premises</t>
  </si>
  <si>
    <t>glassed not didpatched by mohit till now, finishing is yet to be done. Getting it picked up via bus from virar today</t>
  </si>
  <si>
    <t>will require additional time for development for ABS</t>
  </si>
  <si>
    <t>ETA for delivery is today</t>
  </si>
  <si>
    <t>Trail of ABS with master batch</t>
  </si>
  <si>
    <t>dispatch details received, material delivery ETA is today, arrandging for self pickup as trasporter is saying for a delivery of tomorrow.</t>
  </si>
  <si>
    <t>Frame Color</t>
  </si>
  <si>
    <t>Temple Color</t>
  </si>
  <si>
    <t>Part No.</t>
  </si>
  <si>
    <t>Available Frames</t>
  </si>
  <si>
    <t>Available Temples</t>
  </si>
  <si>
    <t>Pending Assembly</t>
  </si>
  <si>
    <t>Trasnferred for Assembly</t>
  </si>
  <si>
    <t>Body Material</t>
  </si>
  <si>
    <t>Raw Material Requirement</t>
  </si>
  <si>
    <t>ABS Masterbatch (kg)</t>
  </si>
  <si>
    <t>Clear ABS Requirement (kg)</t>
  </si>
  <si>
    <t>PP Requirement (kg)</t>
  </si>
  <si>
    <t>PP Masterbatch requirement (kg)</t>
  </si>
  <si>
    <t>Rubberised paint required
(kg)</t>
  </si>
  <si>
    <t>ABS Requirement (kg)</t>
  </si>
  <si>
    <t>Temple Outside Colour</t>
  </si>
  <si>
    <t>Temple Inside Color</t>
  </si>
  <si>
    <t>Fraame Outside Color</t>
  </si>
  <si>
    <t>Frame Inside Color</t>
  </si>
  <si>
    <t>Temple inside Pantone</t>
  </si>
  <si>
    <t>Frame Outside Pantone</t>
  </si>
  <si>
    <t>Temple Quantity
(ABS)</t>
  </si>
  <si>
    <t>Frame Quantity
(ABS)</t>
  </si>
  <si>
    <t>Temple Quantity
(PP)</t>
  </si>
  <si>
    <t>Frame Quantity
(PP)</t>
  </si>
  <si>
    <t>Clear ABS</t>
  </si>
  <si>
    <t>Temple Quantity
(Clear ABS)</t>
  </si>
  <si>
    <t>Frame Quantity
(Clear ABS)</t>
  </si>
  <si>
    <t>2 and 4 Cavity -  Frame</t>
  </si>
  <si>
    <t>4 and 8 Cavity -  Temple</t>
  </si>
  <si>
    <t>3 Molds</t>
  </si>
  <si>
    <t>Frame Weight (Gm)</t>
  </si>
  <si>
    <t>Temple Weight - Each 
(Gm)</t>
  </si>
  <si>
    <t>Buffing</t>
  </si>
  <si>
    <t>Cycle Time (seconds)</t>
  </si>
  <si>
    <t>Trasnferred for Buffing</t>
  </si>
  <si>
    <t>Pending Buffing</t>
  </si>
  <si>
    <t>Available</t>
  </si>
  <si>
    <t>Pad Printing (ABS)</t>
  </si>
  <si>
    <t>Pad Printing (PP)</t>
  </si>
  <si>
    <t>Sticker Application, Cleaning and FQC - PP</t>
  </si>
  <si>
    <t>Sticker Application, Cleaning and FQC - ABS</t>
  </si>
  <si>
    <t>Inner Package packing - ABS</t>
  </si>
  <si>
    <t>Inner Package packing - PP</t>
  </si>
  <si>
    <t>Lens Assembly (pair) - ABS</t>
  </si>
  <si>
    <t>Lens Assembly (pair) - PP</t>
  </si>
  <si>
    <t>3 molds</t>
  </si>
  <si>
    <t>Lacquer Spray</t>
  </si>
  <si>
    <t>Raw Material Required (kg)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</si>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</sst>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sz val="8"/>
      <name val="Calibri"/>
      <family val="2"/>
      <scheme val="minor"/>
    </font>
    <font>
      <sz val="2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FF0000"/>
        <bgColor indexed="64"/>
      </patternFill>
    </fill>
  </fills>
  <borders count="3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23">
    <xf numFmtId="0" fontId="0" fillId="0" borderId="0" xfId="0"/>
    <xf numFmtId="0" fontId="2" fillId="0" borderId="2" xfId="0" applyFont="1" applyBorder="1"/>
    <xf numFmtId="0" fontId="0" fillId="0" borderId="5" xfId="0" applyBorder="1"/>
    <xf numFmtId="0" fontId="0" fillId="0" borderId="6" xfId="0" applyBorder="1"/>
    <xf numFmtId="0" fontId="0" fillId="0" borderId="8" xfId="0" applyBorder="1"/>
    <xf numFmtId="0" fontId="0" fillId="0" borderId="9" xfId="0" applyBorder="1"/>
    <xf numFmtId="0" fontId="0" fillId="0" borderId="7" xfId="0" applyBorder="1"/>
    <xf numFmtId="0" fontId="0" fillId="0" borderId="10" xfId="0" applyBorder="1"/>
    <xf numFmtId="0" fontId="0" fillId="0" borderId="6" xfId="0" applyBorder="1" applyAlignment="1">
      <alignment horizontal="center"/>
    </xf>
    <xf numFmtId="0" fontId="0" fillId="0" borderId="11" xfId="0" applyBorder="1"/>
    <xf numFmtId="0" fontId="0" fillId="0" borderId="17" xfId="0" applyBorder="1"/>
    <xf numFmtId="0" fontId="0" fillId="0" borderId="18" xfId="0" applyBorder="1"/>
    <xf numFmtId="0" fontId="2" fillId="0" borderId="2" xfId="0" applyFont="1" applyBorder="1" applyAlignment="1">
      <alignment horizontal="center" vertical="center"/>
    </xf>
    <xf numFmtId="0" fontId="2" fillId="0" borderId="2" xfId="0" applyFont="1" applyBorder="1" applyAlignment="1">
      <alignment horizontal="center"/>
    </xf>
    <xf numFmtId="0" fontId="0" fillId="0" borderId="0" xfId="0" applyAlignment="1">
      <alignment horizontal="center" vertical="center"/>
    </xf>
    <xf numFmtId="0" fontId="0" fillId="0" borderId="6" xfId="0" applyBorder="1" applyAlignment="1">
      <alignment horizontal="center" vertical="center"/>
    </xf>
    <xf numFmtId="0" fontId="0" fillId="0" borderId="2" xfId="0" applyBorder="1" applyAlignment="1">
      <alignment horizontal="center" vertical="center"/>
    </xf>
    <xf numFmtId="0" fontId="0" fillId="0" borderId="0" xfId="0" applyAlignment="1">
      <alignment wrapText="1"/>
    </xf>
    <xf numFmtId="17" fontId="0" fillId="0" borderId="0" xfId="0" applyNumberFormat="1"/>
    <xf numFmtId="14" fontId="0" fillId="0" borderId="0" xfId="0" applyNumberFormat="1" applyAlignment="1">
      <alignment wrapText="1"/>
    </xf>
    <xf numFmtId="14" fontId="0" fillId="0" borderId="0" xfId="0" applyNumberFormat="1"/>
    <xf numFmtId="1" fontId="0" fillId="0" borderId="0" xfId="0" applyNumberFormat="1"/>
    <xf numFmtId="1" fontId="0" fillId="0" borderId="6" xfId="0" applyNumberFormat="1" applyBorder="1"/>
    <xf numFmtId="1" fontId="0" fillId="0" borderId="7" xfId="0" applyNumberFormat="1" applyBorder="1"/>
    <xf numFmtId="1" fontId="0" fillId="0" borderId="9" xfId="0" applyNumberFormat="1" applyBorder="1"/>
    <xf numFmtId="1" fontId="0" fillId="0" borderId="10" xfId="0" applyNumberFormat="1" applyBorder="1"/>
    <xf numFmtId="1" fontId="0" fillId="0" borderId="0" xfId="0" applyNumberFormat="1" applyAlignment="1">
      <alignment wrapText="1"/>
    </xf>
    <xf numFmtId="2" fontId="0" fillId="0" borderId="0" xfId="0" applyNumberFormat="1" applyAlignment="1">
      <alignment wrapText="1"/>
    </xf>
    <xf numFmtId="0" fontId="0" fillId="2" borderId="0" xfId="0" applyFill="1" applyAlignment="1">
      <alignment wrapText="1"/>
    </xf>
    <xf numFmtId="14" fontId="0" fillId="6" borderId="0" xfId="0" applyNumberFormat="1" applyFill="1" applyAlignment="1">
      <alignment wrapText="1"/>
    </xf>
    <xf numFmtId="0" fontId="0" fillId="0" borderId="5" xfId="0" applyBorder="1" applyAlignment="1">
      <alignment wrapText="1"/>
    </xf>
    <xf numFmtId="0" fontId="0" fillId="0" borderId="7" xfId="0" applyBorder="1" applyAlignment="1">
      <alignment wrapText="1"/>
    </xf>
    <xf numFmtId="0" fontId="0" fillId="0" borderId="24" xfId="0" applyBorder="1"/>
    <xf numFmtId="0" fontId="0" fillId="0" borderId="1" xfId="0" applyBorder="1"/>
    <xf numFmtId="0" fontId="0" fillId="0" borderId="3" xfId="0" applyBorder="1"/>
    <xf numFmtId="0" fontId="0" fillId="0" borderId="25" xfId="0" applyBorder="1"/>
    <xf numFmtId="0" fontId="0" fillId="0" borderId="26" xfId="0" applyBorder="1"/>
    <xf numFmtId="0" fontId="0" fillId="0" borderId="27" xfId="0"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23" xfId="0" applyBorder="1"/>
    <xf numFmtId="1" fontId="0" fillId="0" borderId="5" xfId="0" applyNumberFormat="1" applyBorder="1"/>
    <xf numFmtId="0" fontId="0" fillId="0" borderId="16" xfId="0" applyBorder="1" applyAlignment="1">
      <alignment wrapText="1"/>
    </xf>
    <xf numFmtId="1" fontId="0" fillId="0" borderId="11" xfId="0" applyNumberFormat="1" applyBorder="1"/>
    <xf numFmtId="1" fontId="0" fillId="0" borderId="17" xfId="0" applyNumberFormat="1" applyBorder="1"/>
    <xf numFmtId="0" fontId="0" fillId="0" borderId="28" xfId="0" applyBorder="1"/>
    <xf numFmtId="0" fontId="0" fillId="0" borderId="19" xfId="0" applyBorder="1"/>
    <xf numFmtId="0" fontId="0" fillId="0" borderId="29" xfId="0" applyBorder="1"/>
    <xf numFmtId="0" fontId="0" fillId="0" borderId="2" xfId="0" applyBorder="1"/>
    <xf numFmtId="0" fontId="0" fillId="0" borderId="16" xfId="0" applyBorder="1"/>
    <xf numFmtId="0" fontId="0" fillId="0" borderId="30" xfId="0" applyBorder="1" applyAlignment="1">
      <alignment wrapText="1"/>
    </xf>
    <xf numFmtId="0" fontId="0" fillId="0" borderId="31" xfId="0" applyBorder="1" applyAlignment="1">
      <alignment wrapText="1"/>
    </xf>
    <xf numFmtId="0" fontId="0" fillId="0" borderId="20" xfId="0" applyBorder="1" applyAlignment="1">
      <alignment wrapText="1"/>
    </xf>
    <xf numFmtId="1" fontId="0" fillId="0" borderId="22" xfId="0" applyNumberFormat="1" applyBorder="1"/>
    <xf numFmtId="1" fontId="0" fillId="0" borderId="32" xfId="0" applyNumberFormat="1" applyBorder="1"/>
    <xf numFmtId="0" fontId="0" fillId="0" borderId="33" xfId="0" applyBorder="1"/>
    <xf numFmtId="0" fontId="2" fillId="0" borderId="13" xfId="0" applyFont="1" applyBorder="1" applyAlignment="1">
      <alignment wrapText="1"/>
    </xf>
    <xf numFmtId="0" fontId="2" fillId="0" borderId="1" xfId="0" applyFont="1" applyBorder="1" applyAlignment="1">
      <alignment wrapText="1"/>
    </xf>
    <xf numFmtId="0" fontId="2" fillId="0" borderId="2" xfId="0" applyFont="1" applyBorder="1" applyAlignment="1">
      <alignment wrapText="1"/>
    </xf>
    <xf numFmtId="0" fontId="2" fillId="5" borderId="2" xfId="0" applyFont="1" applyFill="1" applyBorder="1" applyAlignment="1">
      <alignment horizontal="center" wrapText="1"/>
    </xf>
    <xf numFmtId="0" fontId="2" fillId="5" borderId="2" xfId="0" applyFont="1" applyFill="1" applyBorder="1" applyAlignment="1">
      <alignment wrapText="1"/>
    </xf>
    <xf numFmtId="0" fontId="2" fillId="5" borderId="16" xfId="0" applyFont="1" applyFill="1" applyBorder="1" applyAlignment="1">
      <alignment wrapText="1"/>
    </xf>
    <xf numFmtId="0" fontId="2" fillId="5" borderId="3" xfId="0" applyFont="1" applyFill="1" applyBorder="1" applyAlignment="1">
      <alignment wrapText="1"/>
    </xf>
    <xf numFmtId="0" fontId="2" fillId="0" borderId="4" xfId="0" applyFont="1" applyBorder="1" applyAlignment="1">
      <alignment wrapText="1"/>
    </xf>
    <xf numFmtId="0" fontId="0" fillId="0" borderId="14" xfId="0" applyBorder="1" applyAlignment="1">
      <alignment wrapText="1"/>
    </xf>
    <xf numFmtId="0" fontId="0" fillId="3" borderId="5" xfId="0" applyFill="1" applyBorder="1" applyAlignment="1">
      <alignment wrapText="1"/>
    </xf>
    <xf numFmtId="0" fontId="0" fillId="0" borderId="6" xfId="0" applyBorder="1" applyAlignment="1">
      <alignment wrapText="1"/>
    </xf>
    <xf numFmtId="0" fontId="2" fillId="3" borderId="6" xfId="0" applyFont="1" applyFill="1" applyBorder="1" applyAlignment="1">
      <alignment wrapText="1"/>
    </xf>
    <xf numFmtId="0" fontId="2" fillId="0" borderId="6" xfId="0" applyFont="1" applyBorder="1" applyAlignment="1">
      <alignment horizontal="center" wrapText="1"/>
    </xf>
    <xf numFmtId="0" fontId="2" fillId="0" borderId="6" xfId="0" applyFont="1" applyBorder="1" applyAlignment="1">
      <alignment wrapText="1"/>
    </xf>
    <xf numFmtId="0" fontId="2" fillId="0" borderId="11" xfId="0" applyFont="1" applyBorder="1" applyAlignment="1">
      <alignment wrapText="1"/>
    </xf>
    <xf numFmtId="0" fontId="2" fillId="0" borderId="7" xfId="0" applyFont="1" applyBorder="1" applyAlignment="1">
      <alignment wrapText="1"/>
    </xf>
    <xf numFmtId="0" fontId="0" fillId="4" borderId="5" xfId="0" applyFill="1" applyBorder="1" applyAlignment="1">
      <alignment wrapText="1"/>
    </xf>
    <xf numFmtId="0" fontId="2" fillId="4" borderId="6" xfId="0" applyFont="1" applyFill="1" applyBorder="1" applyAlignment="1">
      <alignment wrapText="1"/>
    </xf>
    <xf numFmtId="0" fontId="0" fillId="2" borderId="5" xfId="0" applyFill="1" applyBorder="1" applyAlignment="1">
      <alignment wrapText="1"/>
    </xf>
    <xf numFmtId="0" fontId="2" fillId="2" borderId="6" xfId="0" applyFont="1" applyFill="1" applyBorder="1" applyAlignment="1">
      <alignment wrapText="1"/>
    </xf>
    <xf numFmtId="0" fontId="0" fillId="0" borderId="6" xfId="0" applyBorder="1" applyAlignment="1">
      <alignment horizontal="center" wrapText="1"/>
    </xf>
    <xf numFmtId="0" fontId="0" fillId="0" borderId="11" xfId="0" applyBorder="1" applyAlignment="1">
      <alignment wrapText="1"/>
    </xf>
    <xf numFmtId="0" fontId="2" fillId="0" borderId="0" xfId="0" applyFont="1" applyAlignment="1">
      <alignment wrapText="1"/>
    </xf>
    <xf numFmtId="0" fontId="0" fillId="0" borderId="18" xfId="0" applyBorder="1" applyAlignment="1">
      <alignment wrapText="1"/>
    </xf>
    <xf numFmtId="14" fontId="0" fillId="0" borderId="14" xfId="0" applyNumberFormat="1" applyBorder="1" applyAlignment="1">
      <alignment wrapText="1"/>
    </xf>
    <xf numFmtId="0" fontId="2" fillId="0" borderId="5" xfId="0" applyFont="1" applyBorder="1" applyAlignment="1">
      <alignment horizontal="center" wrapText="1"/>
    </xf>
    <xf numFmtId="0" fontId="1" fillId="0" borderId="6" xfId="0" applyFont="1" applyBorder="1" applyAlignment="1">
      <alignment wrapText="1"/>
    </xf>
    <xf numFmtId="0" fontId="1" fillId="0" borderId="7" xfId="0" applyFont="1" applyBorder="1" applyAlignment="1">
      <alignment wrapText="1"/>
    </xf>
    <xf numFmtId="0" fontId="1" fillId="0" borderId="0" xfId="0" applyFont="1" applyAlignment="1">
      <alignment wrapText="1"/>
    </xf>
    <xf numFmtId="0" fontId="2" fillId="0" borderId="5" xfId="0" applyFont="1" applyBorder="1" applyAlignment="1">
      <alignment wrapText="1"/>
    </xf>
    <xf numFmtId="0" fontId="3" fillId="0" borderId="6" xfId="0" applyFont="1" applyBorder="1" applyAlignment="1">
      <alignment wrapText="1"/>
    </xf>
    <xf numFmtId="0" fontId="0" fillId="0" borderId="15" xfId="0" applyBorder="1" applyAlignment="1">
      <alignment wrapText="1"/>
    </xf>
    <xf numFmtId="0" fontId="0" fillId="0" borderId="8" xfId="0" applyBorder="1" applyAlignment="1">
      <alignment wrapText="1"/>
    </xf>
    <xf numFmtId="0" fontId="0" fillId="0" borderId="9" xfId="0" applyBorder="1" applyAlignment="1">
      <alignment wrapText="1"/>
    </xf>
    <xf numFmtId="0" fontId="0" fillId="0" borderId="9" xfId="0" applyBorder="1" applyAlignment="1">
      <alignment horizontal="center" wrapText="1"/>
    </xf>
    <xf numFmtId="0" fontId="0" fillId="0" borderId="17" xfId="0" applyBorder="1" applyAlignment="1">
      <alignment wrapText="1"/>
    </xf>
    <xf numFmtId="0" fontId="0" fillId="0" borderId="10" xfId="0" applyBorder="1" applyAlignment="1">
      <alignment wrapText="1"/>
    </xf>
    <xf numFmtId="0" fontId="0" fillId="0" borderId="12" xfId="0" applyBorder="1" applyAlignment="1">
      <alignment wrapText="1"/>
    </xf>
    <xf numFmtId="0" fontId="0" fillId="0" borderId="0" xfId="0" applyAlignment="1">
      <alignment horizontal="center" wrapText="1"/>
    </xf>
    <xf numFmtId="0" fontId="1" fillId="0" borderId="6" xfId="0" applyFont="1" applyBorder="1" applyAlignment="1">
      <alignment horizontal="center" wrapText="1"/>
    </xf>
    <xf numFmtId="0" fontId="0" fillId="0" borderId="26" xfId="0" applyBorder="1" applyAlignment="1">
      <alignment wrapText="1"/>
    </xf>
    <xf numFmtId="0" fontId="0" fillId="0" borderId="25" xfId="0" applyBorder="1" applyAlignment="1">
      <alignment wrapText="1"/>
    </xf>
    <xf numFmtId="0" fontId="0" fillId="0" borderId="27" xfId="0" applyBorder="1" applyAlignment="1">
      <alignment wrapText="1"/>
    </xf>
    <xf numFmtId="0" fontId="0" fillId="0" borderId="23" xfId="0" applyBorder="1" applyAlignment="1">
      <alignment wrapText="1"/>
    </xf>
    <xf numFmtId="0" fontId="0" fillId="0" borderId="29" xfId="0" applyBorder="1" applyAlignment="1">
      <alignment wrapText="1"/>
    </xf>
    <xf numFmtId="0" fontId="5" fillId="0" borderId="6" xfId="0" applyFont="1" applyBorder="1" applyAlignment="1">
      <alignment horizontal="center"/>
    </xf>
    <xf numFmtId="0" fontId="0" fillId="0" borderId="14"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14" fontId="0" fillId="0" borderId="5" xfId="0" applyNumberFormat="1" applyBorder="1" applyAlignment="1">
      <alignment horizontal="center"/>
    </xf>
    <xf numFmtId="0" fontId="0" fillId="0" borderId="16" xfId="0" applyBorder="1" applyAlignment="1">
      <alignment horizontal="center"/>
    </xf>
    <xf numFmtId="14" fontId="0" fillId="0" borderId="5" xfId="0" applyNumberFormat="1" applyBorder="1" applyAlignment="1">
      <alignment horizontal="center" wrapText="1"/>
    </xf>
    <xf numFmtId="0" fontId="0" fillId="0" borderId="7" xfId="0" applyBorder="1" applyAlignment="1">
      <alignment horizontal="center" wrapText="1"/>
    </xf>
    <xf numFmtId="14" fontId="0" fillId="0" borderId="14" xfId="0" applyNumberFormat="1" applyBorder="1" applyAlignment="1">
      <alignment horizontal="center"/>
    </xf>
    <xf numFmtId="14" fontId="0" fillId="0" borderId="22" xfId="0" applyNumberFormat="1" applyBorder="1" applyAlignment="1">
      <alignment horizontal="center"/>
    </xf>
    <xf numFmtId="0" fontId="0" fillId="2" borderId="6" xfId="0" applyFill="1" applyBorder="1" applyAlignment="1">
      <alignment wrapText="1"/>
    </xf>
    <xf numFmtId="0" fontId="0" fillId="3" borderId="6" xfId="0" applyFill="1" applyBorder="1" applyAlignment="1">
      <alignment wrapText="1"/>
    </xf>
  </cellXfs>
  <cellStyles count="1">
    <cellStyle name="Normal" xfId="0" builtinId="0"/>
  </cellStyles>
  <dxfs count="2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66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1</xdr:rowOff>
    </xdr:from>
    <xdr:to>
      <xdr:col>9</xdr:col>
      <xdr:colOff>177800</xdr:colOff>
      <xdr:row>12</xdr:row>
      <xdr:rowOff>116460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089650" y="368301"/>
          <a:ext cx="2743200" cy="19579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9</xdr:row>
      <xdr:rowOff>184149</xdr:rowOff>
    </xdr:from>
    <xdr:to>
      <xdr:col>9</xdr:col>
      <xdr:colOff>558800</xdr:colOff>
      <xdr:row>19</xdr:row>
      <xdr:rowOff>28574</xdr:rowOff>
    </xdr:to>
    <xdr:pic>
      <xdr:nvPicPr>
        <xdr:cNvPr id="2" name="Picture 1" descr="C:\Users\mohmmad\AppData\Local\Temp\661a0dc6-5cf3-45fc-a79d-d6655886bb48_Yellow (1).zip.b48\10.png">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2400" y="1847849"/>
          <a:ext cx="2997200" cy="168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603250</xdr:colOff>
      <xdr:row>0</xdr:row>
      <xdr:rowOff>19050</xdr:rowOff>
    </xdr:from>
    <xdr:to>
      <xdr:col>7</xdr:col>
      <xdr:colOff>603250</xdr:colOff>
      <xdr:row>5</xdr:row>
      <xdr:rowOff>127000</xdr:rowOff>
    </xdr:to>
    <xdr:pic>
      <xdr:nvPicPr>
        <xdr:cNvPr id="2" name="Picture 1" descr="C:\Users\mohmmad\AppData\Local\Temp\3bcdb1f5-a672-41f6-9fcc-86d90c15465c_Yellow.zip.65c\1.png">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3200" y="1905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10</xdr:row>
      <xdr:rowOff>0</xdr:rowOff>
    </xdr:from>
    <xdr:to>
      <xdr:col>8</xdr:col>
      <xdr:colOff>0</xdr:colOff>
      <xdr:row>15</xdr:row>
      <xdr:rowOff>107950</xdr:rowOff>
    </xdr:to>
    <xdr:pic>
      <xdr:nvPicPr>
        <xdr:cNvPr id="3" name="Picture 2" descr="C:\Users\mohmmad\AppData\Local\Temp\7f915adc-cd9d-4708-bae9-858e79bf0e3f_Yellow.zip.e3f\2.png">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89550" y="184785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8</xdr:col>
      <xdr:colOff>0</xdr:colOff>
      <xdr:row>5</xdr:row>
      <xdr:rowOff>107950</xdr:rowOff>
    </xdr:to>
    <xdr:pic>
      <xdr:nvPicPr>
        <xdr:cNvPr id="2" name="Picture 1" descr="C:\Users\mohmmad\AppData\Local\Temp\ab867e0d-a0b4-4e7f-9247-7e9060a80d50_Yellow (1).zip.d50\9.png">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60950" y="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590550</xdr:colOff>
      <xdr:row>0</xdr:row>
      <xdr:rowOff>6350</xdr:rowOff>
    </xdr:from>
    <xdr:to>
      <xdr:col>7</xdr:col>
      <xdr:colOff>590550</xdr:colOff>
      <xdr:row>5</xdr:row>
      <xdr:rowOff>114300</xdr:rowOff>
    </xdr:to>
    <xdr:pic>
      <xdr:nvPicPr>
        <xdr:cNvPr id="2" name="Picture 1" descr="C:\Users\mohmmad\AppData\Local\Temp\57caa35a-dc06-426a-a8f2-d0f3b84532ac_Yellow (1).zip.2ac\8.png">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2100" y="635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596900</xdr:colOff>
      <xdr:row>1</xdr:row>
      <xdr:rowOff>12700</xdr:rowOff>
    </xdr:from>
    <xdr:to>
      <xdr:col>7</xdr:col>
      <xdr:colOff>596900</xdr:colOff>
      <xdr:row>6</xdr:row>
      <xdr:rowOff>120650</xdr:rowOff>
    </xdr:to>
    <xdr:pic>
      <xdr:nvPicPr>
        <xdr:cNvPr id="2" name="Picture 1" descr="C:\Users\mohmmad\AppData\Local\Temp\84e57d13-b7d1-4ec3-a445-000b58d0776e_Yellow (1).zip.76e\6.png">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03850" y="20320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16</xdr:row>
      <xdr:rowOff>0</xdr:rowOff>
    </xdr:from>
    <xdr:to>
      <xdr:col>8</xdr:col>
      <xdr:colOff>0</xdr:colOff>
      <xdr:row>21</xdr:row>
      <xdr:rowOff>107950</xdr:rowOff>
    </xdr:to>
    <xdr:pic>
      <xdr:nvPicPr>
        <xdr:cNvPr id="3" name="Picture 2" descr="C:\Users\mohmmad\AppData\Local\Temp\8657cfb2-16a0-42ce-8811-0a1f2e5d5b3c_Yellow (1).zip.b3c\7.png">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16550" y="295910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520700</xdr:colOff>
      <xdr:row>0</xdr:row>
      <xdr:rowOff>19050</xdr:rowOff>
    </xdr:from>
    <xdr:to>
      <xdr:col>7</xdr:col>
      <xdr:colOff>520700</xdr:colOff>
      <xdr:row>5</xdr:row>
      <xdr:rowOff>127000</xdr:rowOff>
    </xdr:to>
    <xdr:pic>
      <xdr:nvPicPr>
        <xdr:cNvPr id="2" name="Picture 1" descr="C:\Users\mohmmad\AppData\Local\Temp\3dc77484-1e64-492a-8055-9e47d497750d_Yellow (1).zip.50d\3.png">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4150" y="1905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9</xdr:row>
      <xdr:rowOff>0</xdr:rowOff>
    </xdr:from>
    <xdr:to>
      <xdr:col>8</xdr:col>
      <xdr:colOff>0</xdr:colOff>
      <xdr:row>14</xdr:row>
      <xdr:rowOff>107950</xdr:rowOff>
    </xdr:to>
    <xdr:pic>
      <xdr:nvPicPr>
        <xdr:cNvPr id="3" name="Picture 2" descr="C:\Users\mohmmad\AppData\Local\Temp\5fb0eab4-007c-4ff3-8479-9c202fe60bfb_Yellow (1).zip.bfb\4.png">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53050" y="166370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18</xdr:row>
      <xdr:rowOff>0</xdr:rowOff>
    </xdr:from>
    <xdr:to>
      <xdr:col>8</xdr:col>
      <xdr:colOff>0</xdr:colOff>
      <xdr:row>23</xdr:row>
      <xdr:rowOff>107950</xdr:rowOff>
    </xdr:to>
    <xdr:pic>
      <xdr:nvPicPr>
        <xdr:cNvPr id="4" name="Picture 3" descr="C:\Users\mohmmad\AppData\Local\Temp\af4a6247-357b-44af-90ca-608a5371d1a1_Yellow (1).zip.1a1\5.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353050" y="3327400"/>
          <a:ext cx="18288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80"/>
  <sheetViews>
    <sheetView tabSelected="1" zoomScale="160" zoomScaleNormal="160" workbookViewId="0">
      <pane ySplit="1" topLeftCell="A67" activePane="bottomLeft" state="frozen"/>
      <selection pane="bottomLeft" activeCell="F76" sqref="F76"/>
    </sheetView>
  </sheetViews>
  <sheetFormatPr defaultColWidth="9.6640625" defaultRowHeight="14.4" x14ac:dyDescent="0.3"/>
  <cols>
    <col min="1" max="1" width="11.33203125" style="17" bestFit="1" customWidth="1"/>
    <col min="2" max="2" width="11" style="17" bestFit="1" customWidth="1"/>
    <col min="3" max="3" width="17.33203125" style="17" customWidth="1"/>
    <col min="4" max="4" width="24.5546875" style="17" customWidth="1"/>
    <col min="5" max="5" width="11.44140625" style="17" bestFit="1" customWidth="1"/>
    <col min="6" max="6" width="11.44140625" style="17" customWidth="1"/>
    <col min="7" max="7" width="12.109375" style="95" customWidth="1"/>
    <col min="8" max="8" width="17.44140625" style="17" customWidth="1"/>
    <col min="9" max="9" width="8.77734375" style="17" customWidth="1"/>
    <col min="10" max="10" width="9.44140625" style="17" customWidth="1"/>
    <col min="11" max="11" width="8.88671875" style="17" customWidth="1"/>
    <col min="12" max="12" width="9.21875" style="17" customWidth="1"/>
    <col min="13" max="13" width="10.109375" style="17" customWidth="1"/>
    <col min="14" max="14" width="11.109375" style="17" customWidth="1"/>
    <col min="15" max="15" width="12.33203125" style="17" customWidth="1"/>
    <col min="16" max="16" width="10.6640625" style="17" customWidth="1"/>
    <col min="17" max="17" width="9.88671875" style="17" customWidth="1"/>
    <col min="18" max="18" width="10.109375" style="17" customWidth="1"/>
    <col min="19" max="19" width="8.77734375" style="17" customWidth="1"/>
    <col min="20" max="20" width="8.88671875" style="17" customWidth="1"/>
    <col min="21" max="21" width="9.88671875" style="17" customWidth="1"/>
    <col min="22" max="22" width="11.77734375" style="17" customWidth="1"/>
    <col min="23" max="23" width="11.5546875" style="17" customWidth="1"/>
    <col min="24" max="24" width="10" style="17" customWidth="1"/>
    <col min="25" max="25" width="14.21875" style="17" customWidth="1"/>
    <col min="26" max="26" width="8.33203125" style="17" customWidth="1"/>
    <col min="27" max="27" width="11.88671875" style="17" customWidth="1"/>
    <col min="28" max="28" width="9.6640625" style="17"/>
    <col min="29" max="29" width="13.77734375" style="17" customWidth="1"/>
    <col min="30" max="16384" width="9.6640625" style="17"/>
  </cols>
  <sheetData>
    <row r="1" spans="1:29" ht="43.2" x14ac:dyDescent="0.3">
      <c r="A1" s="57" t="s">
        <v>0</v>
      </c>
      <c r="B1" s="58" t="s">
        <v>1</v>
      </c>
      <c r="C1" s="59" t="s">
        <v>2</v>
      </c>
      <c r="D1" s="59" t="s">
        <v>3</v>
      </c>
      <c r="E1" s="59" t="s">
        <v>4</v>
      </c>
      <c r="F1" s="60" t="s">
        <v>510</v>
      </c>
      <c r="G1" s="60" t="s">
        <v>108</v>
      </c>
      <c r="H1" s="61" t="s">
        <v>110</v>
      </c>
      <c r="I1" s="61" t="s">
        <v>107</v>
      </c>
      <c r="J1" s="61" t="s">
        <v>521</v>
      </c>
      <c r="K1" s="61" t="s">
        <v>519</v>
      </c>
      <c r="L1" s="61" t="s">
        <v>520</v>
      </c>
      <c r="M1" s="61" t="s">
        <v>518</v>
      </c>
      <c r="N1" s="62" t="s">
        <v>133</v>
      </c>
      <c r="O1" s="62" t="s">
        <v>134</v>
      </c>
      <c r="P1" s="62" t="s">
        <v>135</v>
      </c>
      <c r="Q1" s="62" t="s">
        <v>138</v>
      </c>
      <c r="R1" s="62" t="s">
        <v>136</v>
      </c>
      <c r="S1" s="62" t="s">
        <v>137</v>
      </c>
      <c r="T1" s="62" t="s">
        <v>147</v>
      </c>
      <c r="U1" s="62" t="s">
        <v>141</v>
      </c>
      <c r="V1" s="62" t="s">
        <v>182</v>
      </c>
      <c r="W1" s="62" t="s">
        <v>522</v>
      </c>
      <c r="X1" s="62" t="s">
        <v>523</v>
      </c>
      <c r="Y1" s="62" t="s">
        <v>181</v>
      </c>
      <c r="Z1" s="63" t="s">
        <v>119</v>
      </c>
      <c r="AA1" s="64"/>
    </row>
    <row r="2" spans="1:29" x14ac:dyDescent="0.3">
      <c r="A2" s="65"/>
      <c r="B2" s="66" t="s">
        <v>6</v>
      </c>
      <c r="C2" s="67"/>
      <c r="D2" s="67" t="s">
        <v>106</v>
      </c>
      <c r="E2" s="68">
        <f>E12+E19+E29+E36+E43</f>
        <v>1058400</v>
      </c>
      <c r="F2" s="69">
        <f>E2/23760</f>
        <v>44.545454545454547</v>
      </c>
      <c r="G2" s="77"/>
      <c r="H2" s="70"/>
      <c r="I2" s="70"/>
      <c r="J2" s="70"/>
      <c r="K2" s="70"/>
      <c r="L2" s="70"/>
      <c r="M2" s="70"/>
      <c r="N2" s="71"/>
      <c r="O2" s="71"/>
      <c r="P2" s="71"/>
      <c r="Q2" s="71"/>
      <c r="R2" s="71"/>
      <c r="S2" s="71"/>
      <c r="T2" s="71"/>
      <c r="U2" s="71"/>
      <c r="V2" s="71"/>
      <c r="W2" s="71"/>
      <c r="X2" s="71"/>
      <c r="Y2" s="71"/>
      <c r="Z2" s="72"/>
    </row>
    <row r="3" spans="1:29" x14ac:dyDescent="0.3">
      <c r="A3" s="65"/>
      <c r="B3" s="73" t="s">
        <v>7</v>
      </c>
      <c r="C3" s="67"/>
      <c r="D3" s="67" t="s">
        <v>106</v>
      </c>
      <c r="E3" s="74">
        <f>E54+E63+E69+E73+E77</f>
        <v>747600</v>
      </c>
      <c r="F3" s="69">
        <f>E3/23760</f>
        <v>31.464646464646464</v>
      </c>
      <c r="G3" s="77"/>
      <c r="H3" s="70"/>
      <c r="I3" s="70"/>
      <c r="J3" s="70"/>
      <c r="K3" s="70"/>
      <c r="L3" s="70"/>
      <c r="M3" s="70"/>
      <c r="N3" s="71"/>
      <c r="O3" s="71"/>
      <c r="P3" s="71"/>
      <c r="Q3" s="71"/>
      <c r="R3" s="71"/>
      <c r="S3" s="71"/>
      <c r="T3" s="71"/>
      <c r="U3" s="71"/>
      <c r="V3" s="71"/>
      <c r="W3" s="71"/>
      <c r="X3" s="71"/>
      <c r="Y3" s="71"/>
      <c r="Z3" s="72"/>
    </row>
    <row r="4" spans="1:29" x14ac:dyDescent="0.3">
      <c r="A4" s="65"/>
      <c r="B4" s="75" t="s">
        <v>5</v>
      </c>
      <c r="C4" s="67"/>
      <c r="D4" s="67" t="s">
        <v>106</v>
      </c>
      <c r="E4" s="76">
        <f>SUM(E2:E3)</f>
        <v>1806000</v>
      </c>
      <c r="F4" s="70"/>
      <c r="G4" s="69"/>
      <c r="H4" s="70"/>
      <c r="I4" s="70"/>
      <c r="J4" s="70"/>
      <c r="K4" s="70"/>
      <c r="L4" s="70"/>
      <c r="M4" s="70"/>
      <c r="N4" s="71"/>
      <c r="O4" s="71"/>
      <c r="P4" s="71"/>
      <c r="Q4" s="71"/>
      <c r="R4" s="71"/>
      <c r="S4" s="71"/>
      <c r="T4" s="71"/>
      <c r="U4" s="71"/>
      <c r="V4" s="71"/>
      <c r="W4" s="71"/>
      <c r="X4" s="71"/>
      <c r="Y4" s="71"/>
      <c r="Z4" s="72"/>
    </row>
    <row r="5" spans="1:29" x14ac:dyDescent="0.3">
      <c r="A5" s="65"/>
      <c r="B5" s="30"/>
      <c r="C5" s="67"/>
      <c r="D5" s="67"/>
      <c r="E5" s="67"/>
      <c r="F5" s="67"/>
      <c r="G5" s="77"/>
      <c r="H5" s="67"/>
      <c r="I5" s="67"/>
      <c r="J5" s="67"/>
      <c r="K5" s="67"/>
      <c r="L5" s="67"/>
      <c r="M5" s="67"/>
      <c r="N5" s="78"/>
      <c r="O5" s="78"/>
      <c r="P5" s="78"/>
      <c r="Q5" s="78"/>
      <c r="R5" s="78"/>
      <c r="S5" s="78"/>
      <c r="T5" s="78"/>
      <c r="U5" s="78"/>
      <c r="V5" s="78"/>
      <c r="W5" s="78"/>
      <c r="X5" s="78"/>
      <c r="Y5" s="78"/>
      <c r="Z5" s="31"/>
      <c r="AB5" s="79"/>
      <c r="AC5" s="79"/>
    </row>
    <row r="6" spans="1:29" x14ac:dyDescent="0.3">
      <c r="A6" s="65"/>
      <c r="B6" s="30"/>
      <c r="C6" s="67"/>
      <c r="D6" s="67"/>
      <c r="E6" s="67"/>
      <c r="F6" s="67"/>
      <c r="G6" s="77"/>
      <c r="H6" s="67"/>
      <c r="I6" s="67"/>
      <c r="J6" s="67"/>
      <c r="K6" s="67"/>
      <c r="L6" s="67"/>
      <c r="M6" s="67"/>
      <c r="N6" s="78"/>
      <c r="O6" s="78"/>
      <c r="P6" s="78"/>
      <c r="Q6" s="78"/>
      <c r="R6" s="78"/>
      <c r="S6" s="78"/>
      <c r="T6" s="78"/>
      <c r="U6" s="78"/>
      <c r="V6" s="80"/>
      <c r="W6" s="80"/>
      <c r="X6" s="80"/>
      <c r="Y6" s="80"/>
      <c r="Z6" s="31"/>
    </row>
    <row r="7" spans="1:29" ht="28.8" x14ac:dyDescent="0.3">
      <c r="A7" s="81">
        <v>45907</v>
      </c>
      <c r="B7" s="66">
        <v>1155928</v>
      </c>
      <c r="C7" s="67" t="s">
        <v>8</v>
      </c>
      <c r="D7" s="121" t="s">
        <v>9</v>
      </c>
      <c r="E7" s="67">
        <v>100800</v>
      </c>
      <c r="F7" s="77" t="s">
        <v>6</v>
      </c>
      <c r="G7" s="77" t="s">
        <v>109</v>
      </c>
      <c r="H7" s="67" t="s">
        <v>118</v>
      </c>
      <c r="I7" s="67" t="s">
        <v>111</v>
      </c>
      <c r="J7" s="67"/>
      <c r="K7" s="67" t="s">
        <v>111</v>
      </c>
      <c r="L7" s="67" t="s">
        <v>111</v>
      </c>
      <c r="M7" s="67"/>
      <c r="N7" s="78" t="s">
        <v>139</v>
      </c>
      <c r="O7" s="78" t="s">
        <v>140</v>
      </c>
      <c r="P7" s="78" t="s">
        <v>150</v>
      </c>
      <c r="Q7" s="78" t="s">
        <v>151</v>
      </c>
      <c r="R7" s="78" t="s">
        <v>152</v>
      </c>
      <c r="S7" s="78" t="s">
        <v>153</v>
      </c>
      <c r="T7" s="78" t="s">
        <v>154</v>
      </c>
      <c r="U7" s="78" t="s">
        <v>143</v>
      </c>
      <c r="V7" s="67" t="s">
        <v>155</v>
      </c>
      <c r="W7" s="67" t="s">
        <v>155</v>
      </c>
      <c r="X7" s="67" t="s">
        <v>155</v>
      </c>
      <c r="Y7" s="67" t="s">
        <v>155</v>
      </c>
      <c r="Z7" s="31"/>
    </row>
    <row r="8" spans="1:29" ht="28.8" x14ac:dyDescent="0.3">
      <c r="A8" s="65"/>
      <c r="B8" s="30"/>
      <c r="C8" s="67" t="s">
        <v>11</v>
      </c>
      <c r="D8" s="121" t="s">
        <v>12</v>
      </c>
      <c r="E8" s="67">
        <v>50400</v>
      </c>
      <c r="F8" s="77" t="s">
        <v>6</v>
      </c>
      <c r="G8" s="77" t="s">
        <v>109</v>
      </c>
      <c r="H8" s="67" t="s">
        <v>118</v>
      </c>
      <c r="I8" s="67" t="s">
        <v>111</v>
      </c>
      <c r="J8" s="67"/>
      <c r="K8" s="67" t="s">
        <v>131</v>
      </c>
      <c r="L8" s="67" t="s">
        <v>131</v>
      </c>
      <c r="M8" s="67"/>
      <c r="N8" s="78" t="s">
        <v>139</v>
      </c>
      <c r="O8" s="78" t="s">
        <v>140</v>
      </c>
      <c r="P8" s="78" t="s">
        <v>150</v>
      </c>
      <c r="Q8" s="78" t="s">
        <v>151</v>
      </c>
      <c r="R8" s="78" t="s">
        <v>152</v>
      </c>
      <c r="S8" s="78" t="s">
        <v>153</v>
      </c>
      <c r="T8" s="78" t="s">
        <v>154</v>
      </c>
      <c r="U8" s="78" t="s">
        <v>143</v>
      </c>
      <c r="V8" s="67" t="s">
        <v>156</v>
      </c>
      <c r="W8" s="67" t="s">
        <v>156</v>
      </c>
      <c r="X8" s="67" t="s">
        <v>156</v>
      </c>
      <c r="Y8" s="67" t="s">
        <v>156</v>
      </c>
      <c r="Z8" s="31"/>
    </row>
    <row r="9" spans="1:29" ht="28.8" x14ac:dyDescent="0.3">
      <c r="A9" s="65"/>
      <c r="B9" s="30"/>
      <c r="C9" s="67" t="s">
        <v>13</v>
      </c>
      <c r="D9" s="121" t="s">
        <v>14</v>
      </c>
      <c r="E9" s="67">
        <v>50400</v>
      </c>
      <c r="F9" s="77" t="s">
        <v>6</v>
      </c>
      <c r="G9" s="77" t="s">
        <v>109</v>
      </c>
      <c r="H9" s="67" t="s">
        <v>118</v>
      </c>
      <c r="I9" s="67" t="s">
        <v>111</v>
      </c>
      <c r="J9" s="67"/>
      <c r="K9" s="67" t="s">
        <v>116</v>
      </c>
      <c r="L9" s="67" t="s">
        <v>116</v>
      </c>
      <c r="M9" s="67"/>
      <c r="N9" s="78" t="s">
        <v>139</v>
      </c>
      <c r="O9" s="78" t="s">
        <v>140</v>
      </c>
      <c r="P9" s="78" t="s">
        <v>150</v>
      </c>
      <c r="Q9" s="78" t="s">
        <v>151</v>
      </c>
      <c r="R9" s="78" t="s">
        <v>152</v>
      </c>
      <c r="S9" s="78" t="s">
        <v>153</v>
      </c>
      <c r="T9" s="78" t="s">
        <v>154</v>
      </c>
      <c r="U9" s="78" t="s">
        <v>143</v>
      </c>
      <c r="V9" s="67" t="s">
        <v>157</v>
      </c>
      <c r="W9" s="67" t="s">
        <v>157</v>
      </c>
      <c r="X9" s="67" t="s">
        <v>157</v>
      </c>
      <c r="Y9" s="67" t="s">
        <v>157</v>
      </c>
      <c r="Z9" s="31"/>
    </row>
    <row r="10" spans="1:29" ht="28.8" x14ac:dyDescent="0.3">
      <c r="A10" s="65"/>
      <c r="B10" s="30"/>
      <c r="C10" s="67" t="s">
        <v>15</v>
      </c>
      <c r="D10" s="121" t="s">
        <v>16</v>
      </c>
      <c r="E10" s="67">
        <v>50400</v>
      </c>
      <c r="F10" s="77" t="s">
        <v>6</v>
      </c>
      <c r="G10" s="77" t="s">
        <v>109</v>
      </c>
      <c r="H10" s="67" t="s">
        <v>118</v>
      </c>
      <c r="I10" s="67" t="s">
        <v>111</v>
      </c>
      <c r="J10" s="67"/>
      <c r="K10" s="67" t="s">
        <v>132</v>
      </c>
      <c r="L10" s="67" t="s">
        <v>132</v>
      </c>
      <c r="M10" s="67"/>
      <c r="N10" s="78" t="s">
        <v>139</v>
      </c>
      <c r="O10" s="78" t="s">
        <v>140</v>
      </c>
      <c r="P10" s="78" t="s">
        <v>150</v>
      </c>
      <c r="Q10" s="78" t="s">
        <v>151</v>
      </c>
      <c r="R10" s="78" t="s">
        <v>152</v>
      </c>
      <c r="S10" s="78" t="s">
        <v>153</v>
      </c>
      <c r="T10" s="78" t="s">
        <v>154</v>
      </c>
      <c r="U10" s="78" t="s">
        <v>143</v>
      </c>
      <c r="V10" s="67" t="s">
        <v>158</v>
      </c>
      <c r="W10" s="67" t="s">
        <v>158</v>
      </c>
      <c r="X10" s="67" t="s">
        <v>158</v>
      </c>
      <c r="Y10" s="67" t="s">
        <v>158</v>
      </c>
      <c r="Z10" s="31"/>
    </row>
    <row r="11" spans="1:29" ht="28.8" x14ac:dyDescent="0.3">
      <c r="A11" s="65"/>
      <c r="B11" s="30"/>
      <c r="C11" s="67" t="s">
        <v>17</v>
      </c>
      <c r="D11" s="121" t="s">
        <v>18</v>
      </c>
      <c r="E11" s="67">
        <v>100800</v>
      </c>
      <c r="F11" s="77" t="s">
        <v>6</v>
      </c>
      <c r="G11" s="77" t="s">
        <v>109</v>
      </c>
      <c r="H11" s="67" t="s">
        <v>118</v>
      </c>
      <c r="I11" s="67" t="s">
        <v>111</v>
      </c>
      <c r="J11" s="67"/>
      <c r="K11" s="67" t="s">
        <v>113</v>
      </c>
      <c r="L11" s="67" t="s">
        <v>113</v>
      </c>
      <c r="M11" s="67"/>
      <c r="N11" s="78" t="s">
        <v>139</v>
      </c>
      <c r="O11" s="78" t="s">
        <v>140</v>
      </c>
      <c r="P11" s="78" t="s">
        <v>150</v>
      </c>
      <c r="Q11" s="78" t="s">
        <v>151</v>
      </c>
      <c r="R11" s="78" t="s">
        <v>152</v>
      </c>
      <c r="S11" s="78" t="s">
        <v>153</v>
      </c>
      <c r="T11" s="78" t="s">
        <v>154</v>
      </c>
      <c r="U11" s="78" t="s">
        <v>143</v>
      </c>
      <c r="V11" s="67" t="s">
        <v>159</v>
      </c>
      <c r="W11" s="67" t="s">
        <v>159</v>
      </c>
      <c r="X11" s="67" t="s">
        <v>159</v>
      </c>
      <c r="Y11" s="67" t="s">
        <v>159</v>
      </c>
      <c r="Z11" s="31"/>
    </row>
    <row r="12" spans="1:29" x14ac:dyDescent="0.3">
      <c r="A12" s="65"/>
      <c r="B12" s="30"/>
      <c r="C12" s="67"/>
      <c r="D12" s="67"/>
      <c r="E12" s="70">
        <f>SUM(E7:E11)</f>
        <v>352800</v>
      </c>
      <c r="F12" s="69"/>
      <c r="G12" s="69"/>
      <c r="H12" s="70"/>
      <c r="I12" s="70"/>
      <c r="J12" s="70"/>
      <c r="K12" s="70"/>
      <c r="L12" s="70"/>
      <c r="M12" s="70"/>
      <c r="N12" s="71"/>
      <c r="O12" s="71"/>
      <c r="P12" s="71"/>
      <c r="Q12" s="71"/>
      <c r="R12" s="71"/>
      <c r="S12" s="71"/>
      <c r="T12" s="71"/>
      <c r="U12" s="71"/>
      <c r="V12" s="67"/>
      <c r="W12" s="67"/>
      <c r="X12" s="67"/>
      <c r="Y12" s="67"/>
      <c r="Z12" s="72"/>
      <c r="AA12" s="79"/>
    </row>
    <row r="13" spans="1:29" x14ac:dyDescent="0.3">
      <c r="A13" s="65"/>
      <c r="B13" s="30"/>
      <c r="C13" s="67"/>
      <c r="D13" s="67"/>
      <c r="E13" s="67"/>
      <c r="F13" s="77"/>
      <c r="G13" s="77"/>
      <c r="H13" s="67"/>
      <c r="I13" s="67"/>
      <c r="J13" s="67"/>
      <c r="K13" s="67"/>
      <c r="L13" s="67"/>
      <c r="M13" s="67"/>
      <c r="N13" s="78"/>
      <c r="O13" s="78"/>
      <c r="P13" s="78"/>
      <c r="Q13" s="78"/>
      <c r="R13" s="78"/>
      <c r="S13" s="78"/>
      <c r="T13" s="78"/>
      <c r="U13" s="78"/>
      <c r="V13" s="67"/>
      <c r="W13" s="67"/>
      <c r="X13" s="67"/>
      <c r="Y13" s="67"/>
      <c r="Z13" s="31"/>
    </row>
    <row r="14" spans="1:29" ht="28.8" x14ac:dyDescent="0.3">
      <c r="A14" s="65" t="s">
        <v>19</v>
      </c>
      <c r="B14" s="66">
        <v>1159052</v>
      </c>
      <c r="C14" s="67" t="s">
        <v>8</v>
      </c>
      <c r="D14" s="67" t="s">
        <v>9</v>
      </c>
      <c r="E14" s="67">
        <v>117600</v>
      </c>
      <c r="F14" s="77" t="s">
        <v>6</v>
      </c>
      <c r="G14" s="77" t="s">
        <v>109</v>
      </c>
      <c r="H14" s="67" t="s">
        <v>118</v>
      </c>
      <c r="I14" s="67" t="s">
        <v>111</v>
      </c>
      <c r="J14" s="67"/>
      <c r="K14" s="67" t="s">
        <v>111</v>
      </c>
      <c r="L14" s="67" t="s">
        <v>111</v>
      </c>
      <c r="M14" s="67"/>
      <c r="N14" s="78" t="s">
        <v>139</v>
      </c>
      <c r="O14" s="78" t="s">
        <v>140</v>
      </c>
      <c r="P14" s="78" t="s">
        <v>150</v>
      </c>
      <c r="Q14" s="78" t="s">
        <v>151</v>
      </c>
      <c r="R14" s="78" t="s">
        <v>152</v>
      </c>
      <c r="S14" s="78" t="s">
        <v>153</v>
      </c>
      <c r="T14" s="78" t="s">
        <v>154</v>
      </c>
      <c r="U14" s="78" t="s">
        <v>143</v>
      </c>
      <c r="V14" s="67" t="s">
        <v>155</v>
      </c>
      <c r="W14" s="67" t="s">
        <v>155</v>
      </c>
      <c r="X14" s="67" t="s">
        <v>155</v>
      </c>
      <c r="Y14" s="67" t="s">
        <v>155</v>
      </c>
      <c r="Z14" s="31"/>
    </row>
    <row r="15" spans="1:29" ht="28.8" x14ac:dyDescent="0.3">
      <c r="A15" s="65"/>
      <c r="B15" s="30"/>
      <c r="C15" s="67" t="s">
        <v>11</v>
      </c>
      <c r="D15" s="67" t="s">
        <v>12</v>
      </c>
      <c r="E15" s="67">
        <v>50400</v>
      </c>
      <c r="F15" s="77" t="s">
        <v>6</v>
      </c>
      <c r="G15" s="77" t="s">
        <v>109</v>
      </c>
      <c r="H15" s="67" t="s">
        <v>118</v>
      </c>
      <c r="I15" s="67" t="s">
        <v>111</v>
      </c>
      <c r="J15" s="67"/>
      <c r="K15" s="67" t="s">
        <v>131</v>
      </c>
      <c r="L15" s="67" t="s">
        <v>131</v>
      </c>
      <c r="M15" s="67"/>
      <c r="N15" s="78" t="s">
        <v>139</v>
      </c>
      <c r="O15" s="78" t="s">
        <v>140</v>
      </c>
      <c r="P15" s="78" t="s">
        <v>150</v>
      </c>
      <c r="Q15" s="78" t="s">
        <v>151</v>
      </c>
      <c r="R15" s="78" t="s">
        <v>152</v>
      </c>
      <c r="S15" s="78" t="s">
        <v>153</v>
      </c>
      <c r="T15" s="78" t="s">
        <v>154</v>
      </c>
      <c r="U15" s="78" t="s">
        <v>143</v>
      </c>
      <c r="V15" s="67" t="s">
        <v>156</v>
      </c>
      <c r="W15" s="67" t="s">
        <v>156</v>
      </c>
      <c r="X15" s="67" t="s">
        <v>156</v>
      </c>
      <c r="Y15" s="67" t="s">
        <v>156</v>
      </c>
      <c r="Z15" s="31"/>
    </row>
    <row r="16" spans="1:29" ht="28.8" x14ac:dyDescent="0.3">
      <c r="A16" s="65"/>
      <c r="B16" s="30"/>
      <c r="C16" s="67" t="s">
        <v>13</v>
      </c>
      <c r="D16" s="67" t="s">
        <v>14</v>
      </c>
      <c r="E16" s="67">
        <v>100800</v>
      </c>
      <c r="F16" s="77" t="s">
        <v>6</v>
      </c>
      <c r="G16" s="77" t="s">
        <v>109</v>
      </c>
      <c r="H16" s="67" t="s">
        <v>118</v>
      </c>
      <c r="I16" s="67" t="s">
        <v>111</v>
      </c>
      <c r="J16" s="67"/>
      <c r="K16" s="67" t="s">
        <v>116</v>
      </c>
      <c r="L16" s="67" t="s">
        <v>116</v>
      </c>
      <c r="M16" s="67"/>
      <c r="N16" s="78" t="s">
        <v>139</v>
      </c>
      <c r="O16" s="78" t="s">
        <v>140</v>
      </c>
      <c r="P16" s="78" t="s">
        <v>150</v>
      </c>
      <c r="Q16" s="78" t="s">
        <v>151</v>
      </c>
      <c r="R16" s="78" t="s">
        <v>152</v>
      </c>
      <c r="S16" s="78" t="s">
        <v>153</v>
      </c>
      <c r="T16" s="78" t="s">
        <v>154</v>
      </c>
      <c r="U16" s="78" t="s">
        <v>143</v>
      </c>
      <c r="V16" s="67" t="s">
        <v>157</v>
      </c>
      <c r="W16" s="67" t="s">
        <v>157</v>
      </c>
      <c r="X16" s="67" t="s">
        <v>157</v>
      </c>
      <c r="Y16" s="67" t="s">
        <v>157</v>
      </c>
      <c r="Z16" s="31"/>
    </row>
    <row r="17" spans="1:27" ht="28.8" x14ac:dyDescent="0.3">
      <c r="A17" s="65"/>
      <c r="B17" s="30"/>
      <c r="C17" s="67" t="s">
        <v>15</v>
      </c>
      <c r="D17" s="67" t="s">
        <v>16</v>
      </c>
      <c r="E17" s="67">
        <v>50400</v>
      </c>
      <c r="F17" s="77" t="s">
        <v>6</v>
      </c>
      <c r="G17" s="77" t="s">
        <v>109</v>
      </c>
      <c r="H17" s="67" t="s">
        <v>118</v>
      </c>
      <c r="I17" s="67" t="s">
        <v>111</v>
      </c>
      <c r="J17" s="67"/>
      <c r="K17" s="67" t="s">
        <v>132</v>
      </c>
      <c r="L17" s="67" t="s">
        <v>132</v>
      </c>
      <c r="M17" s="67"/>
      <c r="N17" s="78" t="s">
        <v>139</v>
      </c>
      <c r="O17" s="78" t="s">
        <v>140</v>
      </c>
      <c r="P17" s="78" t="s">
        <v>150</v>
      </c>
      <c r="Q17" s="78" t="s">
        <v>151</v>
      </c>
      <c r="R17" s="78" t="s">
        <v>152</v>
      </c>
      <c r="S17" s="78" t="s">
        <v>153</v>
      </c>
      <c r="T17" s="78" t="s">
        <v>154</v>
      </c>
      <c r="U17" s="78" t="s">
        <v>143</v>
      </c>
      <c r="V17" s="67" t="s">
        <v>158</v>
      </c>
      <c r="W17" s="67" t="s">
        <v>158</v>
      </c>
      <c r="X17" s="67" t="s">
        <v>158</v>
      </c>
      <c r="Y17" s="67" t="s">
        <v>158</v>
      </c>
      <c r="Z17" s="31"/>
    </row>
    <row r="18" spans="1:27" ht="28.8" x14ac:dyDescent="0.3">
      <c r="A18" s="65"/>
      <c r="B18" s="30"/>
      <c r="C18" s="67" t="s">
        <v>17</v>
      </c>
      <c r="D18" s="67" t="s">
        <v>18</v>
      </c>
      <c r="E18" s="67">
        <v>33600</v>
      </c>
      <c r="F18" s="77" t="s">
        <v>6</v>
      </c>
      <c r="G18" s="77" t="s">
        <v>109</v>
      </c>
      <c r="H18" s="67" t="s">
        <v>118</v>
      </c>
      <c r="I18" s="67" t="s">
        <v>111</v>
      </c>
      <c r="J18" s="67"/>
      <c r="K18" s="67" t="s">
        <v>113</v>
      </c>
      <c r="L18" s="67" t="s">
        <v>113</v>
      </c>
      <c r="M18" s="67"/>
      <c r="N18" s="78" t="s">
        <v>139</v>
      </c>
      <c r="O18" s="78" t="s">
        <v>140</v>
      </c>
      <c r="P18" s="78" t="s">
        <v>150</v>
      </c>
      <c r="Q18" s="78" t="s">
        <v>151</v>
      </c>
      <c r="R18" s="78" t="s">
        <v>152</v>
      </c>
      <c r="S18" s="78" t="s">
        <v>153</v>
      </c>
      <c r="T18" s="78" t="s">
        <v>154</v>
      </c>
      <c r="U18" s="78" t="s">
        <v>143</v>
      </c>
      <c r="V18" s="67" t="s">
        <v>159</v>
      </c>
      <c r="W18" s="67" t="s">
        <v>159</v>
      </c>
      <c r="X18" s="67" t="s">
        <v>159</v>
      </c>
      <c r="Y18" s="67" t="s">
        <v>159</v>
      </c>
      <c r="Z18" s="31"/>
    </row>
    <row r="19" spans="1:27" x14ac:dyDescent="0.3">
      <c r="A19" s="65"/>
      <c r="B19" s="30"/>
      <c r="C19" s="67"/>
      <c r="D19" s="67"/>
      <c r="E19" s="70">
        <f>SUM(E14:E18)</f>
        <v>352800</v>
      </c>
      <c r="F19" s="69"/>
      <c r="G19" s="69"/>
      <c r="H19" s="70"/>
      <c r="I19" s="70"/>
      <c r="J19" s="70"/>
      <c r="K19" s="70"/>
      <c r="L19" s="70"/>
      <c r="M19" s="70"/>
      <c r="N19" s="71"/>
      <c r="O19" s="71"/>
      <c r="P19" s="71"/>
      <c r="Q19" s="71"/>
      <c r="R19" s="71"/>
      <c r="S19" s="71"/>
      <c r="T19" s="71"/>
      <c r="U19" s="71"/>
      <c r="V19" s="67"/>
      <c r="W19" s="67"/>
      <c r="X19" s="67"/>
      <c r="Y19" s="67"/>
      <c r="Z19" s="72"/>
      <c r="AA19" s="79"/>
    </row>
    <row r="20" spans="1:27" x14ac:dyDescent="0.3">
      <c r="A20" s="65"/>
      <c r="B20" s="30"/>
      <c r="C20" s="67"/>
      <c r="D20" s="67"/>
      <c r="E20" s="67"/>
      <c r="F20" s="77"/>
      <c r="G20" s="77"/>
      <c r="H20" s="67"/>
      <c r="I20" s="67"/>
      <c r="J20" s="67"/>
      <c r="K20" s="67"/>
      <c r="L20" s="67"/>
      <c r="M20" s="67"/>
      <c r="N20" s="78"/>
      <c r="O20" s="78"/>
      <c r="P20" s="78"/>
      <c r="Q20" s="78"/>
      <c r="R20" s="78"/>
      <c r="S20" s="78"/>
      <c r="T20" s="78"/>
      <c r="U20" s="78"/>
      <c r="V20" s="67"/>
      <c r="W20" s="67"/>
      <c r="X20" s="67"/>
      <c r="Y20" s="67"/>
      <c r="Z20" s="31"/>
    </row>
    <row r="21" spans="1:27" ht="28.8" x14ac:dyDescent="0.3">
      <c r="A21" s="65" t="s">
        <v>20</v>
      </c>
      <c r="B21" s="66">
        <v>1160644</v>
      </c>
      <c r="C21" s="67" t="s">
        <v>21</v>
      </c>
      <c r="D21" s="121" t="s">
        <v>22</v>
      </c>
      <c r="E21" s="67">
        <v>33600</v>
      </c>
      <c r="F21" s="77" t="s">
        <v>6</v>
      </c>
      <c r="G21" s="77" t="s">
        <v>109</v>
      </c>
      <c r="H21" s="67" t="s">
        <v>118</v>
      </c>
      <c r="I21" s="67" t="s">
        <v>111</v>
      </c>
      <c r="J21" s="67" t="s">
        <v>112</v>
      </c>
      <c r="K21" s="67" t="s">
        <v>112</v>
      </c>
      <c r="L21" s="67" t="s">
        <v>111</v>
      </c>
      <c r="M21" s="67" t="s">
        <v>111</v>
      </c>
      <c r="N21" s="78" t="s">
        <v>139</v>
      </c>
      <c r="O21" s="78" t="s">
        <v>140</v>
      </c>
      <c r="P21" s="78" t="s">
        <v>150</v>
      </c>
      <c r="Q21" s="78" t="s">
        <v>151</v>
      </c>
      <c r="R21" s="78" t="s">
        <v>152</v>
      </c>
      <c r="S21" s="78" t="s">
        <v>153</v>
      </c>
      <c r="T21" s="78" t="s">
        <v>154</v>
      </c>
      <c r="U21" s="78" t="s">
        <v>143</v>
      </c>
      <c r="V21" s="67" t="s">
        <v>160</v>
      </c>
      <c r="W21" s="67" t="s">
        <v>160</v>
      </c>
      <c r="X21" s="67" t="s">
        <v>155</v>
      </c>
      <c r="Y21" s="67" t="s">
        <v>155</v>
      </c>
      <c r="Z21" s="31"/>
    </row>
    <row r="22" spans="1:27" ht="28.8" x14ac:dyDescent="0.3">
      <c r="A22" s="65"/>
      <c r="B22" s="82"/>
      <c r="C22" s="67" t="s">
        <v>23</v>
      </c>
      <c r="D22" s="121" t="s">
        <v>24</v>
      </c>
      <c r="E22" s="67">
        <v>16800</v>
      </c>
      <c r="F22" s="77" t="s">
        <v>6</v>
      </c>
      <c r="G22" s="77" t="s">
        <v>109</v>
      </c>
      <c r="H22" s="67" t="s">
        <v>118</v>
      </c>
      <c r="I22" s="67" t="s">
        <v>111</v>
      </c>
      <c r="J22" s="67" t="s">
        <v>112</v>
      </c>
      <c r="K22" s="67" t="s">
        <v>112</v>
      </c>
      <c r="L22" s="67" t="s">
        <v>113</v>
      </c>
      <c r="M22" s="67" t="s">
        <v>113</v>
      </c>
      <c r="N22" s="78" t="s">
        <v>139</v>
      </c>
      <c r="O22" s="78" t="s">
        <v>140</v>
      </c>
      <c r="P22" s="78" t="s">
        <v>150</v>
      </c>
      <c r="Q22" s="78" t="s">
        <v>151</v>
      </c>
      <c r="R22" s="78" t="s">
        <v>152</v>
      </c>
      <c r="S22" s="78" t="s">
        <v>153</v>
      </c>
      <c r="T22" s="78" t="s">
        <v>154</v>
      </c>
      <c r="U22" s="78" t="s">
        <v>143</v>
      </c>
      <c r="V22" s="67" t="s">
        <v>160</v>
      </c>
      <c r="W22" s="67" t="s">
        <v>160</v>
      </c>
      <c r="X22" s="67" t="s">
        <v>113</v>
      </c>
      <c r="Y22" s="67" t="s">
        <v>113</v>
      </c>
      <c r="Z22" s="31"/>
    </row>
    <row r="23" spans="1:27" ht="28.8" x14ac:dyDescent="0.3">
      <c r="A23" s="65"/>
      <c r="B23" s="30"/>
      <c r="C23" s="67" t="s">
        <v>25</v>
      </c>
      <c r="D23" s="121" t="s">
        <v>26</v>
      </c>
      <c r="E23" s="67">
        <v>25200</v>
      </c>
      <c r="F23" s="77" t="s">
        <v>6</v>
      </c>
      <c r="G23" s="77" t="s">
        <v>109</v>
      </c>
      <c r="H23" s="67" t="s">
        <v>118</v>
      </c>
      <c r="I23" s="67" t="s">
        <v>111</v>
      </c>
      <c r="J23" s="67" t="s">
        <v>114</v>
      </c>
      <c r="K23" s="67" t="s">
        <v>114</v>
      </c>
      <c r="L23" s="67" t="s">
        <v>111</v>
      </c>
      <c r="M23" s="67" t="s">
        <v>111</v>
      </c>
      <c r="N23" s="78" t="s">
        <v>139</v>
      </c>
      <c r="O23" s="78" t="s">
        <v>140</v>
      </c>
      <c r="P23" s="78" t="s">
        <v>150</v>
      </c>
      <c r="Q23" s="78" t="s">
        <v>151</v>
      </c>
      <c r="R23" s="78" t="s">
        <v>152</v>
      </c>
      <c r="S23" s="78" t="s">
        <v>153</v>
      </c>
      <c r="T23" s="78" t="s">
        <v>154</v>
      </c>
      <c r="U23" s="78" t="s">
        <v>143</v>
      </c>
      <c r="V23" s="67" t="s">
        <v>161</v>
      </c>
      <c r="W23" s="67" t="s">
        <v>161</v>
      </c>
      <c r="X23" s="67" t="s">
        <v>155</v>
      </c>
      <c r="Y23" s="67" t="s">
        <v>155</v>
      </c>
      <c r="Z23" s="31"/>
    </row>
    <row r="24" spans="1:27" ht="28.8" x14ac:dyDescent="0.3">
      <c r="A24" s="65"/>
      <c r="B24" s="30"/>
      <c r="C24" s="67" t="s">
        <v>27</v>
      </c>
      <c r="D24" s="121" t="s">
        <v>28</v>
      </c>
      <c r="E24" s="67">
        <v>16800</v>
      </c>
      <c r="F24" s="77" t="s">
        <v>6</v>
      </c>
      <c r="G24" s="77" t="s">
        <v>109</v>
      </c>
      <c r="H24" s="67" t="s">
        <v>118</v>
      </c>
      <c r="I24" s="67" t="s">
        <v>111</v>
      </c>
      <c r="J24" s="67" t="s">
        <v>115</v>
      </c>
      <c r="K24" s="67" t="s">
        <v>115</v>
      </c>
      <c r="L24" s="67" t="s">
        <v>111</v>
      </c>
      <c r="M24" s="67" t="s">
        <v>111</v>
      </c>
      <c r="N24" s="78" t="s">
        <v>139</v>
      </c>
      <c r="O24" s="78" t="s">
        <v>140</v>
      </c>
      <c r="P24" s="78" t="s">
        <v>150</v>
      </c>
      <c r="Q24" s="78" t="s">
        <v>151</v>
      </c>
      <c r="R24" s="78" t="s">
        <v>152</v>
      </c>
      <c r="S24" s="78" t="s">
        <v>153</v>
      </c>
      <c r="T24" s="78" t="s">
        <v>154</v>
      </c>
      <c r="U24" s="78" t="s">
        <v>143</v>
      </c>
      <c r="V24" s="67" t="s">
        <v>162</v>
      </c>
      <c r="W24" s="67" t="s">
        <v>162</v>
      </c>
      <c r="X24" s="67" t="s">
        <v>155</v>
      </c>
      <c r="Y24" s="67" t="s">
        <v>155</v>
      </c>
      <c r="Z24" s="31"/>
    </row>
    <row r="25" spans="1:27" ht="28.8" x14ac:dyDescent="0.3">
      <c r="A25" s="65"/>
      <c r="B25" s="30"/>
      <c r="C25" s="67" t="s">
        <v>29</v>
      </c>
      <c r="D25" s="121" t="s">
        <v>30</v>
      </c>
      <c r="E25" s="67">
        <v>8400</v>
      </c>
      <c r="F25" s="77" t="s">
        <v>6</v>
      </c>
      <c r="G25" s="77" t="s">
        <v>109</v>
      </c>
      <c r="H25" s="67" t="s">
        <v>118</v>
      </c>
      <c r="I25" s="67" t="s">
        <v>111</v>
      </c>
      <c r="J25" s="67" t="s">
        <v>115</v>
      </c>
      <c r="K25" s="67" t="s">
        <v>115</v>
      </c>
      <c r="L25" s="67" t="s">
        <v>113</v>
      </c>
      <c r="M25" s="67" t="s">
        <v>113</v>
      </c>
      <c r="N25" s="78" t="s">
        <v>139</v>
      </c>
      <c r="O25" s="78" t="s">
        <v>140</v>
      </c>
      <c r="P25" s="78" t="s">
        <v>150</v>
      </c>
      <c r="Q25" s="78" t="s">
        <v>151</v>
      </c>
      <c r="R25" s="78" t="s">
        <v>152</v>
      </c>
      <c r="S25" s="78" t="s">
        <v>153</v>
      </c>
      <c r="T25" s="78" t="s">
        <v>154</v>
      </c>
      <c r="U25" s="78" t="s">
        <v>143</v>
      </c>
      <c r="V25" s="67" t="s">
        <v>162</v>
      </c>
      <c r="W25" s="67" t="s">
        <v>162</v>
      </c>
      <c r="X25" s="67" t="s">
        <v>113</v>
      </c>
      <c r="Y25" s="67" t="s">
        <v>113</v>
      </c>
      <c r="Z25" s="31"/>
    </row>
    <row r="26" spans="1:27" ht="28.8" x14ac:dyDescent="0.3">
      <c r="A26" s="65"/>
      <c r="B26" s="30"/>
      <c r="C26" s="67" t="s">
        <v>31</v>
      </c>
      <c r="D26" s="121" t="s">
        <v>32</v>
      </c>
      <c r="E26" s="67">
        <v>25200</v>
      </c>
      <c r="F26" s="77" t="s">
        <v>6</v>
      </c>
      <c r="G26" s="77" t="s">
        <v>109</v>
      </c>
      <c r="H26" s="67" t="s">
        <v>118</v>
      </c>
      <c r="I26" s="67" t="s">
        <v>111</v>
      </c>
      <c r="J26" s="67" t="s">
        <v>116</v>
      </c>
      <c r="K26" s="67" t="s">
        <v>116</v>
      </c>
      <c r="L26" s="67" t="s">
        <v>111</v>
      </c>
      <c r="M26" s="67" t="s">
        <v>111</v>
      </c>
      <c r="N26" s="78" t="s">
        <v>139</v>
      </c>
      <c r="O26" s="78" t="s">
        <v>140</v>
      </c>
      <c r="P26" s="78" t="s">
        <v>150</v>
      </c>
      <c r="Q26" s="78" t="s">
        <v>151</v>
      </c>
      <c r="R26" s="78" t="s">
        <v>152</v>
      </c>
      <c r="S26" s="78" t="s">
        <v>153</v>
      </c>
      <c r="T26" s="78" t="s">
        <v>154</v>
      </c>
      <c r="U26" s="78" t="s">
        <v>143</v>
      </c>
      <c r="V26" s="67" t="s">
        <v>163</v>
      </c>
      <c r="W26" s="67" t="s">
        <v>163</v>
      </c>
      <c r="X26" s="67" t="s">
        <v>155</v>
      </c>
      <c r="Y26" s="67" t="s">
        <v>155</v>
      </c>
      <c r="Z26" s="31"/>
    </row>
    <row r="27" spans="1:27" ht="28.8" x14ac:dyDescent="0.3">
      <c r="A27" s="65"/>
      <c r="B27" s="30"/>
      <c r="C27" s="67" t="s">
        <v>33</v>
      </c>
      <c r="D27" s="121" t="s">
        <v>34</v>
      </c>
      <c r="E27" s="67">
        <v>8400</v>
      </c>
      <c r="F27" s="77" t="s">
        <v>6</v>
      </c>
      <c r="G27" s="77" t="s">
        <v>109</v>
      </c>
      <c r="H27" s="67" t="s">
        <v>118</v>
      </c>
      <c r="I27" s="67" t="s">
        <v>111</v>
      </c>
      <c r="J27" s="67" t="s">
        <v>116</v>
      </c>
      <c r="K27" s="67" t="s">
        <v>116</v>
      </c>
      <c r="L27" s="67" t="s">
        <v>113</v>
      </c>
      <c r="M27" s="67" t="s">
        <v>113</v>
      </c>
      <c r="N27" s="78" t="s">
        <v>139</v>
      </c>
      <c r="O27" s="78" t="s">
        <v>140</v>
      </c>
      <c r="P27" s="78" t="s">
        <v>150</v>
      </c>
      <c r="Q27" s="78" t="s">
        <v>151</v>
      </c>
      <c r="R27" s="78" t="s">
        <v>152</v>
      </c>
      <c r="S27" s="78" t="s">
        <v>153</v>
      </c>
      <c r="T27" s="78" t="s">
        <v>154</v>
      </c>
      <c r="U27" s="78" t="s">
        <v>143</v>
      </c>
      <c r="V27" s="67" t="s">
        <v>163</v>
      </c>
      <c r="W27" s="67" t="s">
        <v>163</v>
      </c>
      <c r="X27" s="67" t="s">
        <v>113</v>
      </c>
      <c r="Y27" s="67" t="s">
        <v>113</v>
      </c>
      <c r="Z27" s="31"/>
    </row>
    <row r="28" spans="1:27" ht="28.8" x14ac:dyDescent="0.3">
      <c r="A28" s="65"/>
      <c r="B28" s="30"/>
      <c r="C28" s="67" t="s">
        <v>35</v>
      </c>
      <c r="D28" s="121" t="s">
        <v>36</v>
      </c>
      <c r="E28" s="67">
        <v>8400</v>
      </c>
      <c r="F28" s="77" t="s">
        <v>6</v>
      </c>
      <c r="G28" s="77" t="s">
        <v>109</v>
      </c>
      <c r="H28" s="67" t="s">
        <v>118</v>
      </c>
      <c r="I28" s="67" t="s">
        <v>111</v>
      </c>
      <c r="J28" s="67" t="s">
        <v>117</v>
      </c>
      <c r="K28" s="67" t="s">
        <v>117</v>
      </c>
      <c r="L28" s="67" t="s">
        <v>111</v>
      </c>
      <c r="M28" s="67" t="s">
        <v>111</v>
      </c>
      <c r="N28" s="78" t="s">
        <v>139</v>
      </c>
      <c r="O28" s="78" t="s">
        <v>140</v>
      </c>
      <c r="P28" s="78" t="s">
        <v>150</v>
      </c>
      <c r="Q28" s="78" t="s">
        <v>151</v>
      </c>
      <c r="R28" s="78" t="s">
        <v>152</v>
      </c>
      <c r="S28" s="78" t="s">
        <v>153</v>
      </c>
      <c r="T28" s="78" t="s">
        <v>154</v>
      </c>
      <c r="U28" s="78" t="s">
        <v>143</v>
      </c>
      <c r="V28" s="67" t="s">
        <v>164</v>
      </c>
      <c r="W28" s="67" t="s">
        <v>164</v>
      </c>
      <c r="X28" s="67" t="s">
        <v>155</v>
      </c>
      <c r="Y28" s="67" t="s">
        <v>155</v>
      </c>
      <c r="Z28" s="31"/>
    </row>
    <row r="29" spans="1:27" x14ac:dyDescent="0.3">
      <c r="A29" s="65"/>
      <c r="B29" s="30"/>
      <c r="C29" s="67"/>
      <c r="D29" s="67"/>
      <c r="E29" s="70">
        <f>SUM(E21:E28)</f>
        <v>142800</v>
      </c>
      <c r="F29" s="69"/>
      <c r="G29" s="69"/>
      <c r="H29" s="70"/>
      <c r="I29" s="70"/>
      <c r="J29" s="70"/>
      <c r="K29" s="70"/>
      <c r="L29" s="70"/>
      <c r="M29" s="70"/>
      <c r="N29" s="71"/>
      <c r="O29" s="71"/>
      <c r="P29" s="71"/>
      <c r="Q29" s="71"/>
      <c r="R29" s="71"/>
      <c r="S29" s="71"/>
      <c r="T29" s="71"/>
      <c r="U29" s="71"/>
      <c r="V29" s="67"/>
      <c r="W29" s="67"/>
      <c r="X29" s="67"/>
      <c r="Y29" s="67"/>
      <c r="Z29" s="72"/>
      <c r="AA29" s="79"/>
    </row>
    <row r="30" spans="1:27" x14ac:dyDescent="0.3">
      <c r="A30" s="65"/>
      <c r="B30" s="30"/>
      <c r="C30" s="67"/>
      <c r="D30" s="67"/>
      <c r="E30" s="70"/>
      <c r="F30" s="69"/>
      <c r="G30" s="69"/>
      <c r="H30" s="70"/>
      <c r="I30" s="70"/>
      <c r="J30" s="70"/>
      <c r="K30" s="70"/>
      <c r="L30" s="70"/>
      <c r="M30" s="70"/>
      <c r="N30" s="71"/>
      <c r="O30" s="71"/>
      <c r="P30" s="71"/>
      <c r="Q30" s="71"/>
      <c r="R30" s="71"/>
      <c r="S30" s="71"/>
      <c r="T30" s="71"/>
      <c r="U30" s="71"/>
      <c r="V30" s="67"/>
      <c r="W30" s="67"/>
      <c r="X30" s="67"/>
      <c r="Y30" s="67"/>
      <c r="Z30" s="72"/>
      <c r="AA30" s="79"/>
    </row>
    <row r="31" spans="1:27" ht="28.8" x14ac:dyDescent="0.3">
      <c r="A31" s="65" t="s">
        <v>20</v>
      </c>
      <c r="B31" s="66">
        <v>1160645</v>
      </c>
      <c r="C31" s="67" t="s">
        <v>37</v>
      </c>
      <c r="D31" s="122" t="s">
        <v>38</v>
      </c>
      <c r="E31" s="83">
        <v>42000</v>
      </c>
      <c r="F31" s="96" t="s">
        <v>528</v>
      </c>
      <c r="G31" s="77" t="s">
        <v>109</v>
      </c>
      <c r="H31" s="67" t="s">
        <v>118</v>
      </c>
      <c r="I31" s="67" t="s">
        <v>112</v>
      </c>
      <c r="J31" s="83"/>
      <c r="K31" s="67" t="s">
        <v>125</v>
      </c>
      <c r="L31" s="67" t="s">
        <v>125</v>
      </c>
      <c r="M31" s="83"/>
      <c r="N31" s="78" t="s">
        <v>139</v>
      </c>
      <c r="O31" s="78" t="s">
        <v>140</v>
      </c>
      <c r="P31" s="78" t="s">
        <v>150</v>
      </c>
      <c r="Q31" s="78" t="s">
        <v>151</v>
      </c>
      <c r="R31" s="78" t="s">
        <v>152</v>
      </c>
      <c r="S31" s="78" t="s">
        <v>153</v>
      </c>
      <c r="T31" s="78" t="s">
        <v>154</v>
      </c>
      <c r="U31" s="78" t="s">
        <v>143</v>
      </c>
      <c r="V31" s="67" t="s">
        <v>125</v>
      </c>
      <c r="W31" s="67" t="s">
        <v>125</v>
      </c>
      <c r="X31" s="67" t="s">
        <v>125</v>
      </c>
      <c r="Y31" s="67" t="s">
        <v>125</v>
      </c>
      <c r="Z31" s="84"/>
      <c r="AA31" s="85"/>
    </row>
    <row r="32" spans="1:27" ht="28.8" x14ac:dyDescent="0.3">
      <c r="A32" s="65"/>
      <c r="B32" s="86"/>
      <c r="C32" s="67" t="s">
        <v>39</v>
      </c>
      <c r="D32" s="122" t="s">
        <v>40</v>
      </c>
      <c r="E32" s="83">
        <v>25200</v>
      </c>
      <c r="F32" s="96" t="s">
        <v>528</v>
      </c>
      <c r="G32" s="77" t="s">
        <v>109</v>
      </c>
      <c r="H32" s="67" t="s">
        <v>118</v>
      </c>
      <c r="I32" s="67" t="s">
        <v>120</v>
      </c>
      <c r="J32" s="83"/>
      <c r="K32" s="67" t="s">
        <v>125</v>
      </c>
      <c r="L32" s="67" t="s">
        <v>125</v>
      </c>
      <c r="M32" s="83"/>
      <c r="N32" s="78" t="s">
        <v>139</v>
      </c>
      <c r="O32" s="78" t="s">
        <v>140</v>
      </c>
      <c r="P32" s="78" t="s">
        <v>150</v>
      </c>
      <c r="Q32" s="78" t="s">
        <v>151</v>
      </c>
      <c r="R32" s="78" t="s">
        <v>152</v>
      </c>
      <c r="S32" s="78" t="s">
        <v>153</v>
      </c>
      <c r="T32" s="78" t="s">
        <v>154</v>
      </c>
      <c r="U32" s="78" t="s">
        <v>143</v>
      </c>
      <c r="V32" s="67" t="s">
        <v>125</v>
      </c>
      <c r="W32" s="67" t="s">
        <v>125</v>
      </c>
      <c r="X32" s="67" t="s">
        <v>125</v>
      </c>
      <c r="Y32" s="67" t="s">
        <v>125</v>
      </c>
      <c r="Z32" s="84"/>
      <c r="AA32" s="85"/>
    </row>
    <row r="33" spans="1:27" ht="28.8" x14ac:dyDescent="0.3">
      <c r="A33" s="65"/>
      <c r="B33" s="30"/>
      <c r="C33" s="67" t="s">
        <v>41</v>
      </c>
      <c r="D33" s="122" t="s">
        <v>42</v>
      </c>
      <c r="E33" s="83">
        <v>16800</v>
      </c>
      <c r="F33" s="96" t="s">
        <v>528</v>
      </c>
      <c r="G33" s="77" t="s">
        <v>109</v>
      </c>
      <c r="H33" s="67" t="s">
        <v>118</v>
      </c>
      <c r="I33" s="67" t="s">
        <v>116</v>
      </c>
      <c r="J33" s="83"/>
      <c r="K33" s="67" t="s">
        <v>125</v>
      </c>
      <c r="L33" s="67" t="s">
        <v>125</v>
      </c>
      <c r="M33" s="83"/>
      <c r="N33" s="78" t="s">
        <v>139</v>
      </c>
      <c r="O33" s="78" t="s">
        <v>140</v>
      </c>
      <c r="P33" s="78" t="s">
        <v>150</v>
      </c>
      <c r="Q33" s="78" t="s">
        <v>151</v>
      </c>
      <c r="R33" s="78" t="s">
        <v>152</v>
      </c>
      <c r="S33" s="78" t="s">
        <v>153</v>
      </c>
      <c r="T33" s="78" t="s">
        <v>154</v>
      </c>
      <c r="U33" s="78" t="s">
        <v>143</v>
      </c>
      <c r="V33" s="67" t="s">
        <v>125</v>
      </c>
      <c r="W33" s="67" t="s">
        <v>125</v>
      </c>
      <c r="X33" s="67" t="s">
        <v>125</v>
      </c>
      <c r="Y33" s="67" t="s">
        <v>125</v>
      </c>
      <c r="Z33" s="84"/>
      <c r="AA33" s="85"/>
    </row>
    <row r="34" spans="1:27" ht="28.8" x14ac:dyDescent="0.3">
      <c r="A34" s="65"/>
      <c r="B34" s="30"/>
      <c r="C34" s="67" t="s">
        <v>43</v>
      </c>
      <c r="D34" s="122" t="s">
        <v>44</v>
      </c>
      <c r="E34" s="83">
        <v>16800</v>
      </c>
      <c r="F34" s="96" t="s">
        <v>528</v>
      </c>
      <c r="G34" s="77" t="s">
        <v>109</v>
      </c>
      <c r="H34" s="67" t="s">
        <v>118</v>
      </c>
      <c r="I34" s="67" t="s">
        <v>126</v>
      </c>
      <c r="J34" s="83"/>
      <c r="K34" s="67" t="s">
        <v>125</v>
      </c>
      <c r="L34" s="67" t="s">
        <v>125</v>
      </c>
      <c r="M34" s="83"/>
      <c r="N34" s="78" t="s">
        <v>139</v>
      </c>
      <c r="O34" s="78" t="s">
        <v>140</v>
      </c>
      <c r="P34" s="78" t="s">
        <v>150</v>
      </c>
      <c r="Q34" s="78" t="s">
        <v>151</v>
      </c>
      <c r="R34" s="78" t="s">
        <v>152</v>
      </c>
      <c r="S34" s="78" t="s">
        <v>153</v>
      </c>
      <c r="T34" s="78" t="s">
        <v>154</v>
      </c>
      <c r="U34" s="78" t="s">
        <v>143</v>
      </c>
      <c r="V34" s="67" t="s">
        <v>125</v>
      </c>
      <c r="W34" s="67" t="s">
        <v>125</v>
      </c>
      <c r="X34" s="67" t="s">
        <v>125</v>
      </c>
      <c r="Y34" s="67" t="s">
        <v>125</v>
      </c>
      <c r="Z34" s="84"/>
      <c r="AA34" s="85"/>
    </row>
    <row r="35" spans="1:27" ht="28.8" x14ac:dyDescent="0.3">
      <c r="A35" s="65"/>
      <c r="B35" s="30"/>
      <c r="C35" s="67" t="s">
        <v>45</v>
      </c>
      <c r="D35" s="122" t="s">
        <v>46</v>
      </c>
      <c r="E35" s="83">
        <v>16800</v>
      </c>
      <c r="F35" s="96" t="s">
        <v>528</v>
      </c>
      <c r="G35" s="77" t="s">
        <v>109</v>
      </c>
      <c r="H35" s="67" t="s">
        <v>118</v>
      </c>
      <c r="I35" s="67" t="s">
        <v>117</v>
      </c>
      <c r="J35" s="83"/>
      <c r="K35" s="67" t="s">
        <v>125</v>
      </c>
      <c r="L35" s="67" t="s">
        <v>125</v>
      </c>
      <c r="M35" s="83"/>
      <c r="N35" s="78" t="s">
        <v>139</v>
      </c>
      <c r="O35" s="78" t="s">
        <v>140</v>
      </c>
      <c r="P35" s="78" t="s">
        <v>150</v>
      </c>
      <c r="Q35" s="78" t="s">
        <v>151</v>
      </c>
      <c r="R35" s="78" t="s">
        <v>152</v>
      </c>
      <c r="S35" s="78" t="s">
        <v>153</v>
      </c>
      <c r="T35" s="78" t="s">
        <v>154</v>
      </c>
      <c r="U35" s="78" t="s">
        <v>143</v>
      </c>
      <c r="V35" s="67" t="s">
        <v>125</v>
      </c>
      <c r="W35" s="67" t="s">
        <v>125</v>
      </c>
      <c r="X35" s="67" t="s">
        <v>125</v>
      </c>
      <c r="Y35" s="67" t="s">
        <v>125</v>
      </c>
      <c r="Z35" s="84"/>
      <c r="AA35" s="85"/>
    </row>
    <row r="36" spans="1:27" x14ac:dyDescent="0.3">
      <c r="A36" s="65"/>
      <c r="B36" s="30"/>
      <c r="C36" s="67"/>
      <c r="D36" s="67"/>
      <c r="E36" s="70">
        <f>SUM(E31:E35)</f>
        <v>117600</v>
      </c>
      <c r="F36" s="69"/>
      <c r="G36" s="69"/>
      <c r="H36" s="70"/>
      <c r="I36" s="70"/>
      <c r="J36" s="70"/>
      <c r="K36" s="70"/>
      <c r="L36" s="70"/>
      <c r="M36" s="70"/>
      <c r="N36" s="71"/>
      <c r="O36" s="71"/>
      <c r="P36" s="71"/>
      <c r="Q36" s="71"/>
      <c r="R36" s="71"/>
      <c r="S36" s="71"/>
      <c r="T36" s="71"/>
      <c r="U36" s="71"/>
      <c r="V36" s="67"/>
      <c r="W36" s="67"/>
      <c r="X36" s="67"/>
      <c r="Y36" s="67"/>
      <c r="Z36" s="72"/>
      <c r="AA36" s="79"/>
    </row>
    <row r="37" spans="1:27" x14ac:dyDescent="0.3">
      <c r="A37" s="65"/>
      <c r="B37" s="30"/>
      <c r="C37" s="67"/>
      <c r="D37" s="67"/>
      <c r="E37" s="70"/>
      <c r="F37" s="69"/>
      <c r="G37" s="69"/>
      <c r="H37" s="70"/>
      <c r="I37" s="70"/>
      <c r="J37" s="70"/>
      <c r="K37" s="70"/>
      <c r="L37" s="70"/>
      <c r="M37" s="70"/>
      <c r="N37" s="71"/>
      <c r="O37" s="71"/>
      <c r="P37" s="71"/>
      <c r="Q37" s="71"/>
      <c r="R37" s="71"/>
      <c r="S37" s="71"/>
      <c r="T37" s="71"/>
      <c r="U37" s="71"/>
      <c r="V37" s="67"/>
      <c r="W37" s="67"/>
      <c r="X37" s="67"/>
      <c r="Y37" s="67"/>
      <c r="Z37" s="72"/>
      <c r="AA37" s="79"/>
    </row>
    <row r="38" spans="1:27" ht="28.8" x14ac:dyDescent="0.3">
      <c r="A38" s="65" t="s">
        <v>20</v>
      </c>
      <c r="B38" s="66">
        <v>1160647</v>
      </c>
      <c r="C38" s="67" t="s">
        <v>47</v>
      </c>
      <c r="D38" s="121" t="s">
        <v>48</v>
      </c>
      <c r="E38" s="83">
        <v>16800</v>
      </c>
      <c r="F38" s="96" t="s">
        <v>6</v>
      </c>
      <c r="G38" s="77" t="s">
        <v>109</v>
      </c>
      <c r="H38" s="67" t="s">
        <v>118</v>
      </c>
      <c r="I38" s="67" t="s">
        <v>111</v>
      </c>
      <c r="J38" s="67"/>
      <c r="K38" s="67" t="s">
        <v>127</v>
      </c>
      <c r="L38" s="67" t="s">
        <v>127</v>
      </c>
      <c r="M38" s="83"/>
      <c r="N38" s="78" t="s">
        <v>139</v>
      </c>
      <c r="O38" s="78" t="s">
        <v>140</v>
      </c>
      <c r="P38" s="78" t="s">
        <v>150</v>
      </c>
      <c r="Q38" s="78" t="s">
        <v>151</v>
      </c>
      <c r="R38" s="78" t="s">
        <v>152</v>
      </c>
      <c r="S38" s="78" t="s">
        <v>153</v>
      </c>
      <c r="T38" s="78" t="s">
        <v>154</v>
      </c>
      <c r="U38" s="78" t="s">
        <v>143</v>
      </c>
      <c r="V38" s="67" t="s">
        <v>165</v>
      </c>
      <c r="W38" s="67" t="s">
        <v>165</v>
      </c>
      <c r="X38" s="67" t="s">
        <v>165</v>
      </c>
      <c r="Y38" s="67" t="s">
        <v>165</v>
      </c>
      <c r="Z38" s="84"/>
      <c r="AA38" s="85"/>
    </row>
    <row r="39" spans="1:27" ht="28.8" x14ac:dyDescent="0.3">
      <c r="A39" s="65"/>
      <c r="B39" s="30"/>
      <c r="C39" s="67" t="s">
        <v>49</v>
      </c>
      <c r="D39" s="121" t="s">
        <v>50</v>
      </c>
      <c r="E39" s="83">
        <v>25200</v>
      </c>
      <c r="F39" s="96" t="s">
        <v>6</v>
      </c>
      <c r="G39" s="77" t="s">
        <v>109</v>
      </c>
      <c r="H39" s="67" t="s">
        <v>118</v>
      </c>
      <c r="I39" s="67" t="s">
        <v>111</v>
      </c>
      <c r="J39" s="67"/>
      <c r="K39" s="67" t="s">
        <v>128</v>
      </c>
      <c r="L39" s="67" t="s">
        <v>128</v>
      </c>
      <c r="M39" s="83"/>
      <c r="N39" s="78" t="s">
        <v>139</v>
      </c>
      <c r="O39" s="78" t="s">
        <v>140</v>
      </c>
      <c r="P39" s="78" t="s">
        <v>150</v>
      </c>
      <c r="Q39" s="78" t="s">
        <v>151</v>
      </c>
      <c r="R39" s="78" t="s">
        <v>152</v>
      </c>
      <c r="S39" s="78" t="s">
        <v>153</v>
      </c>
      <c r="T39" s="78" t="s">
        <v>154</v>
      </c>
      <c r="U39" s="78" t="s">
        <v>143</v>
      </c>
      <c r="V39" s="67" t="s">
        <v>166</v>
      </c>
      <c r="W39" s="67" t="s">
        <v>166</v>
      </c>
      <c r="X39" s="67" t="s">
        <v>166</v>
      </c>
      <c r="Y39" s="67" t="s">
        <v>166</v>
      </c>
      <c r="Z39" s="84"/>
      <c r="AA39" s="85"/>
    </row>
    <row r="40" spans="1:27" ht="28.8" x14ac:dyDescent="0.3">
      <c r="A40" s="65"/>
      <c r="B40" s="30"/>
      <c r="C40" s="67" t="s">
        <v>51</v>
      </c>
      <c r="D40" s="121" t="s">
        <v>52</v>
      </c>
      <c r="E40" s="83">
        <v>16800</v>
      </c>
      <c r="F40" s="96" t="s">
        <v>6</v>
      </c>
      <c r="G40" s="77" t="s">
        <v>109</v>
      </c>
      <c r="H40" s="67" t="s">
        <v>118</v>
      </c>
      <c r="I40" s="67" t="s">
        <v>111</v>
      </c>
      <c r="J40" s="67"/>
      <c r="K40" s="67" t="s">
        <v>129</v>
      </c>
      <c r="L40" s="67" t="s">
        <v>129</v>
      </c>
      <c r="M40" s="83"/>
      <c r="N40" s="78" t="s">
        <v>139</v>
      </c>
      <c r="O40" s="78" t="s">
        <v>140</v>
      </c>
      <c r="P40" s="78" t="s">
        <v>150</v>
      </c>
      <c r="Q40" s="78" t="s">
        <v>151</v>
      </c>
      <c r="R40" s="78" t="s">
        <v>152</v>
      </c>
      <c r="S40" s="78" t="s">
        <v>153</v>
      </c>
      <c r="T40" s="78" t="s">
        <v>154</v>
      </c>
      <c r="U40" s="78" t="s">
        <v>143</v>
      </c>
      <c r="V40" s="67" t="s">
        <v>167</v>
      </c>
      <c r="W40" s="67" t="s">
        <v>167</v>
      </c>
      <c r="X40" s="67" t="s">
        <v>167</v>
      </c>
      <c r="Y40" s="67" t="s">
        <v>167</v>
      </c>
      <c r="Z40" s="84"/>
      <c r="AA40" s="85"/>
    </row>
    <row r="41" spans="1:27" ht="28.8" x14ac:dyDescent="0.3">
      <c r="A41" s="65"/>
      <c r="B41" s="30"/>
      <c r="C41" s="67" t="s">
        <v>53</v>
      </c>
      <c r="D41" s="121" t="s">
        <v>54</v>
      </c>
      <c r="E41" s="83">
        <v>16800</v>
      </c>
      <c r="F41" s="96" t="s">
        <v>6</v>
      </c>
      <c r="G41" s="77" t="s">
        <v>109</v>
      </c>
      <c r="H41" s="67" t="s">
        <v>118</v>
      </c>
      <c r="I41" s="67" t="s">
        <v>111</v>
      </c>
      <c r="J41" s="67"/>
      <c r="K41" s="67" t="s">
        <v>130</v>
      </c>
      <c r="L41" s="67" t="s">
        <v>130</v>
      </c>
      <c r="M41" s="83"/>
      <c r="N41" s="78" t="s">
        <v>139</v>
      </c>
      <c r="O41" s="78" t="s">
        <v>140</v>
      </c>
      <c r="P41" s="78" t="s">
        <v>150</v>
      </c>
      <c r="Q41" s="78" t="s">
        <v>151</v>
      </c>
      <c r="R41" s="78" t="s">
        <v>152</v>
      </c>
      <c r="S41" s="78" t="s">
        <v>153</v>
      </c>
      <c r="T41" s="78" t="s">
        <v>154</v>
      </c>
      <c r="U41" s="78" t="s">
        <v>143</v>
      </c>
      <c r="V41" s="67" t="s">
        <v>168</v>
      </c>
      <c r="W41" s="67" t="s">
        <v>168</v>
      </c>
      <c r="X41" s="67" t="s">
        <v>168</v>
      </c>
      <c r="Y41" s="67" t="s">
        <v>168</v>
      </c>
      <c r="Z41" s="84"/>
      <c r="AA41" s="85"/>
    </row>
    <row r="42" spans="1:27" ht="28.8" x14ac:dyDescent="0.3">
      <c r="A42" s="65"/>
      <c r="B42" s="30"/>
      <c r="C42" s="67" t="s">
        <v>55</v>
      </c>
      <c r="D42" s="121" t="s">
        <v>56</v>
      </c>
      <c r="E42" s="83">
        <v>16800</v>
      </c>
      <c r="F42" s="96" t="s">
        <v>6</v>
      </c>
      <c r="G42" s="77" t="s">
        <v>109</v>
      </c>
      <c r="H42" s="67" t="s">
        <v>118</v>
      </c>
      <c r="I42" s="67" t="s">
        <v>111</v>
      </c>
      <c r="J42" s="67"/>
      <c r="K42" s="67" t="s">
        <v>123</v>
      </c>
      <c r="L42" s="67" t="s">
        <v>123</v>
      </c>
      <c r="M42" s="83"/>
      <c r="N42" s="78" t="s">
        <v>139</v>
      </c>
      <c r="O42" s="78" t="s">
        <v>140</v>
      </c>
      <c r="P42" s="78" t="s">
        <v>150</v>
      </c>
      <c r="Q42" s="78" t="s">
        <v>151</v>
      </c>
      <c r="R42" s="78" t="s">
        <v>152</v>
      </c>
      <c r="S42" s="78" t="s">
        <v>153</v>
      </c>
      <c r="T42" s="78" t="s">
        <v>154</v>
      </c>
      <c r="U42" s="78" t="s">
        <v>143</v>
      </c>
      <c r="V42" s="67" t="s">
        <v>169</v>
      </c>
      <c r="W42" s="67" t="s">
        <v>169</v>
      </c>
      <c r="X42" s="67" t="s">
        <v>169</v>
      </c>
      <c r="Y42" s="67" t="s">
        <v>169</v>
      </c>
      <c r="Z42" s="84"/>
      <c r="AA42" s="85"/>
    </row>
    <row r="43" spans="1:27" x14ac:dyDescent="0.3">
      <c r="A43" s="65"/>
      <c r="B43" s="30"/>
      <c r="C43" s="67"/>
      <c r="D43" s="67"/>
      <c r="E43" s="70">
        <f>SUM(E38:E42)</f>
        <v>92400</v>
      </c>
      <c r="F43" s="69"/>
      <c r="G43" s="69"/>
      <c r="H43" s="70"/>
      <c r="I43" s="70"/>
      <c r="J43" s="70"/>
      <c r="K43" s="70"/>
      <c r="L43" s="70"/>
      <c r="M43" s="70"/>
      <c r="N43" s="71"/>
      <c r="O43" s="71"/>
      <c r="P43" s="71"/>
      <c r="Q43" s="71"/>
      <c r="R43" s="71"/>
      <c r="S43" s="71"/>
      <c r="T43" s="71"/>
      <c r="U43" s="71"/>
      <c r="V43" s="67"/>
      <c r="W43" s="67"/>
      <c r="X43" s="67"/>
      <c r="Y43" s="67"/>
      <c r="Z43" s="72"/>
      <c r="AA43" s="79"/>
    </row>
    <row r="44" spans="1:27" x14ac:dyDescent="0.3">
      <c r="A44" s="65"/>
      <c r="B44" s="30"/>
      <c r="C44" s="67"/>
      <c r="D44" s="67"/>
      <c r="E44" s="70"/>
      <c r="F44" s="69"/>
      <c r="G44" s="69"/>
      <c r="H44" s="70"/>
      <c r="I44" s="70"/>
      <c r="J44" s="70"/>
      <c r="K44" s="70"/>
      <c r="L44" s="70"/>
      <c r="M44" s="70"/>
      <c r="N44" s="71"/>
      <c r="O44" s="71"/>
      <c r="P44" s="71"/>
      <c r="Q44" s="71"/>
      <c r="R44" s="71"/>
      <c r="S44" s="71"/>
      <c r="T44" s="71"/>
      <c r="U44" s="71"/>
      <c r="V44" s="67"/>
      <c r="W44" s="67"/>
      <c r="X44" s="67"/>
      <c r="Y44" s="67"/>
      <c r="Z44" s="72"/>
      <c r="AA44" s="79"/>
    </row>
    <row r="45" spans="1:27" ht="28.8" x14ac:dyDescent="0.3">
      <c r="A45" s="65" t="s">
        <v>57</v>
      </c>
      <c r="B45" s="73">
        <v>1163004</v>
      </c>
      <c r="C45" s="67" t="s">
        <v>58</v>
      </c>
      <c r="D45" s="67" t="s">
        <v>59</v>
      </c>
      <c r="E45" s="67">
        <v>117600</v>
      </c>
      <c r="F45" s="77" t="s">
        <v>7</v>
      </c>
      <c r="G45" s="77" t="s">
        <v>109</v>
      </c>
      <c r="H45" s="67" t="s">
        <v>118</v>
      </c>
      <c r="I45" s="67" t="s">
        <v>111</v>
      </c>
      <c r="J45" s="67"/>
      <c r="K45" s="67" t="s">
        <v>111</v>
      </c>
      <c r="L45" s="67" t="s">
        <v>111</v>
      </c>
      <c r="M45" s="67"/>
      <c r="N45" s="78"/>
      <c r="O45" s="78" t="s">
        <v>140</v>
      </c>
      <c r="P45" s="78" t="s">
        <v>144</v>
      </c>
      <c r="Q45" s="78" t="s">
        <v>146</v>
      </c>
      <c r="R45" s="78" t="s">
        <v>145</v>
      </c>
      <c r="S45" s="78" t="s">
        <v>149</v>
      </c>
      <c r="T45" s="78" t="s">
        <v>148</v>
      </c>
      <c r="U45" s="78" t="s">
        <v>142</v>
      </c>
      <c r="V45" s="67" t="s">
        <v>170</v>
      </c>
      <c r="W45" s="67" t="s">
        <v>170</v>
      </c>
      <c r="X45" s="67" t="s">
        <v>170</v>
      </c>
      <c r="Y45" s="67" t="s">
        <v>170</v>
      </c>
      <c r="Z45" s="31"/>
    </row>
    <row r="46" spans="1:27" ht="28.8" x14ac:dyDescent="0.3">
      <c r="A46" s="65"/>
      <c r="B46" s="30"/>
      <c r="C46" s="67" t="s">
        <v>60</v>
      </c>
      <c r="D46" s="67" t="s">
        <v>61</v>
      </c>
      <c r="E46" s="67">
        <v>58800</v>
      </c>
      <c r="F46" s="77" t="s">
        <v>7</v>
      </c>
      <c r="G46" s="77" t="s">
        <v>109</v>
      </c>
      <c r="H46" s="67" t="s">
        <v>118</v>
      </c>
      <c r="I46" s="67" t="s">
        <v>111</v>
      </c>
      <c r="J46" s="67"/>
      <c r="K46" s="67" t="s">
        <v>112</v>
      </c>
      <c r="L46" s="67" t="s">
        <v>112</v>
      </c>
      <c r="M46" s="67"/>
      <c r="N46" s="78"/>
      <c r="O46" s="78" t="s">
        <v>140</v>
      </c>
      <c r="P46" s="78" t="s">
        <v>144</v>
      </c>
      <c r="Q46" s="78" t="s">
        <v>146</v>
      </c>
      <c r="R46" s="78" t="s">
        <v>145</v>
      </c>
      <c r="S46" s="78" t="s">
        <v>149</v>
      </c>
      <c r="T46" s="78" t="s">
        <v>148</v>
      </c>
      <c r="U46" s="78" t="s">
        <v>142</v>
      </c>
      <c r="V46" s="67" t="s">
        <v>171</v>
      </c>
      <c r="W46" s="67" t="s">
        <v>171</v>
      </c>
      <c r="X46" s="67" t="s">
        <v>171</v>
      </c>
      <c r="Y46" s="67" t="s">
        <v>171</v>
      </c>
      <c r="Z46" s="31" t="s">
        <v>119</v>
      </c>
    </row>
    <row r="47" spans="1:27" ht="28.8" x14ac:dyDescent="0.3">
      <c r="A47" s="65"/>
      <c r="B47" s="30"/>
      <c r="C47" s="67" t="s">
        <v>62</v>
      </c>
      <c r="D47" s="67" t="s">
        <v>63</v>
      </c>
      <c r="E47" s="67">
        <v>50400</v>
      </c>
      <c r="F47" s="77" t="s">
        <v>7</v>
      </c>
      <c r="G47" s="77" t="s">
        <v>109</v>
      </c>
      <c r="H47" s="67" t="s">
        <v>118</v>
      </c>
      <c r="I47" s="67" t="s">
        <v>111</v>
      </c>
      <c r="J47" s="67"/>
      <c r="K47" s="67" t="s">
        <v>112</v>
      </c>
      <c r="L47" s="67" t="s">
        <v>112</v>
      </c>
      <c r="M47" s="67"/>
      <c r="N47" s="78"/>
      <c r="O47" s="78" t="s">
        <v>140</v>
      </c>
      <c r="P47" s="78" t="s">
        <v>144</v>
      </c>
      <c r="Q47" s="78" t="s">
        <v>146</v>
      </c>
      <c r="R47" s="78" t="s">
        <v>145</v>
      </c>
      <c r="S47" s="78" t="s">
        <v>149</v>
      </c>
      <c r="T47" s="78" t="s">
        <v>148</v>
      </c>
      <c r="U47" s="78" t="s">
        <v>142</v>
      </c>
      <c r="V47" s="67" t="s">
        <v>171</v>
      </c>
      <c r="W47" s="67" t="s">
        <v>171</v>
      </c>
      <c r="X47" s="67" t="s">
        <v>171</v>
      </c>
      <c r="Y47" s="67" t="s">
        <v>171</v>
      </c>
      <c r="Z47" s="31"/>
    </row>
    <row r="48" spans="1:27" ht="28.8" x14ac:dyDescent="0.3">
      <c r="A48" s="65"/>
      <c r="B48" s="30"/>
      <c r="C48" s="67" t="s">
        <v>64</v>
      </c>
      <c r="D48" s="67" t="s">
        <v>65</v>
      </c>
      <c r="E48" s="67">
        <v>25200</v>
      </c>
      <c r="F48" s="77" t="s">
        <v>7</v>
      </c>
      <c r="G48" s="77" t="s">
        <v>109</v>
      </c>
      <c r="H48" s="67" t="s">
        <v>118</v>
      </c>
      <c r="I48" s="67" t="s">
        <v>111</v>
      </c>
      <c r="J48" s="67"/>
      <c r="K48" s="67" t="s">
        <v>120</v>
      </c>
      <c r="L48" s="67" t="s">
        <v>120</v>
      </c>
      <c r="M48" s="67"/>
      <c r="N48" s="78"/>
      <c r="O48" s="78" t="s">
        <v>140</v>
      </c>
      <c r="P48" s="78" t="s">
        <v>144</v>
      </c>
      <c r="Q48" s="78" t="s">
        <v>146</v>
      </c>
      <c r="R48" s="78" t="s">
        <v>145</v>
      </c>
      <c r="S48" s="78" t="s">
        <v>149</v>
      </c>
      <c r="T48" s="78" t="s">
        <v>148</v>
      </c>
      <c r="U48" s="78" t="s">
        <v>142</v>
      </c>
      <c r="V48" s="67" t="s">
        <v>172</v>
      </c>
      <c r="W48" s="67" t="s">
        <v>172</v>
      </c>
      <c r="X48" s="67" t="s">
        <v>172</v>
      </c>
      <c r="Y48" s="67" t="s">
        <v>172</v>
      </c>
      <c r="Z48" s="31" t="s">
        <v>119</v>
      </c>
    </row>
    <row r="49" spans="1:27" ht="28.8" x14ac:dyDescent="0.3">
      <c r="A49" s="65"/>
      <c r="B49" s="30"/>
      <c r="C49" s="67" t="s">
        <v>66</v>
      </c>
      <c r="D49" s="67" t="s">
        <v>67</v>
      </c>
      <c r="E49" s="67">
        <v>25200</v>
      </c>
      <c r="F49" s="77" t="s">
        <v>7</v>
      </c>
      <c r="G49" s="77" t="s">
        <v>109</v>
      </c>
      <c r="H49" s="67" t="s">
        <v>118</v>
      </c>
      <c r="I49" s="67" t="s">
        <v>111</v>
      </c>
      <c r="J49" s="67"/>
      <c r="K49" s="67" t="s">
        <v>120</v>
      </c>
      <c r="L49" s="67" t="s">
        <v>120</v>
      </c>
      <c r="M49" s="67"/>
      <c r="N49" s="78"/>
      <c r="O49" s="78" t="s">
        <v>140</v>
      </c>
      <c r="P49" s="78" t="s">
        <v>144</v>
      </c>
      <c r="Q49" s="78" t="s">
        <v>146</v>
      </c>
      <c r="R49" s="78" t="s">
        <v>145</v>
      </c>
      <c r="S49" s="78" t="s">
        <v>149</v>
      </c>
      <c r="T49" s="78" t="s">
        <v>148</v>
      </c>
      <c r="U49" s="78" t="s">
        <v>142</v>
      </c>
      <c r="V49" s="67" t="s">
        <v>172</v>
      </c>
      <c r="W49" s="67" t="s">
        <v>172</v>
      </c>
      <c r="X49" s="67" t="s">
        <v>172</v>
      </c>
      <c r="Y49" s="67" t="s">
        <v>172</v>
      </c>
      <c r="Z49" s="31"/>
    </row>
    <row r="50" spans="1:27" ht="28.8" x14ac:dyDescent="0.3">
      <c r="A50" s="65"/>
      <c r="B50" s="30"/>
      <c r="C50" s="67" t="s">
        <v>68</v>
      </c>
      <c r="D50" s="67" t="s">
        <v>69</v>
      </c>
      <c r="E50" s="67">
        <v>42000</v>
      </c>
      <c r="F50" s="77" t="s">
        <v>7</v>
      </c>
      <c r="G50" s="77" t="s">
        <v>109</v>
      </c>
      <c r="H50" s="67" t="s">
        <v>118</v>
      </c>
      <c r="I50" s="67" t="s">
        <v>111</v>
      </c>
      <c r="J50" s="67"/>
      <c r="K50" s="67" t="s">
        <v>116</v>
      </c>
      <c r="L50" s="67" t="s">
        <v>116</v>
      </c>
      <c r="M50" s="67"/>
      <c r="N50" s="78"/>
      <c r="O50" s="78" t="s">
        <v>140</v>
      </c>
      <c r="P50" s="78" t="s">
        <v>144</v>
      </c>
      <c r="Q50" s="78" t="s">
        <v>146</v>
      </c>
      <c r="R50" s="78" t="s">
        <v>145</v>
      </c>
      <c r="S50" s="78" t="s">
        <v>149</v>
      </c>
      <c r="T50" s="78" t="s">
        <v>148</v>
      </c>
      <c r="U50" s="78" t="s">
        <v>142</v>
      </c>
      <c r="V50" s="67" t="s">
        <v>173</v>
      </c>
      <c r="W50" s="67" t="s">
        <v>173</v>
      </c>
      <c r="X50" s="67" t="s">
        <v>173</v>
      </c>
      <c r="Y50" s="67" t="s">
        <v>173</v>
      </c>
      <c r="Z50" s="31" t="s">
        <v>119</v>
      </c>
    </row>
    <row r="51" spans="1:27" ht="28.8" x14ac:dyDescent="0.3">
      <c r="A51" s="65"/>
      <c r="B51" s="30"/>
      <c r="C51" s="67" t="s">
        <v>70</v>
      </c>
      <c r="D51" s="67" t="s">
        <v>71</v>
      </c>
      <c r="E51" s="67">
        <v>42000</v>
      </c>
      <c r="F51" s="77" t="s">
        <v>7</v>
      </c>
      <c r="G51" s="77" t="s">
        <v>109</v>
      </c>
      <c r="H51" s="67" t="s">
        <v>118</v>
      </c>
      <c r="I51" s="67" t="s">
        <v>111</v>
      </c>
      <c r="J51" s="67"/>
      <c r="K51" s="67" t="s">
        <v>116</v>
      </c>
      <c r="L51" s="67" t="s">
        <v>116</v>
      </c>
      <c r="M51" s="67"/>
      <c r="N51" s="78"/>
      <c r="O51" s="78" t="s">
        <v>140</v>
      </c>
      <c r="P51" s="78" t="s">
        <v>144</v>
      </c>
      <c r="Q51" s="78" t="s">
        <v>146</v>
      </c>
      <c r="R51" s="78" t="s">
        <v>145</v>
      </c>
      <c r="S51" s="78" t="s">
        <v>149</v>
      </c>
      <c r="T51" s="78" t="s">
        <v>148</v>
      </c>
      <c r="U51" s="78" t="s">
        <v>142</v>
      </c>
      <c r="V51" s="67" t="s">
        <v>173</v>
      </c>
      <c r="W51" s="67" t="s">
        <v>173</v>
      </c>
      <c r="X51" s="67" t="s">
        <v>173</v>
      </c>
      <c r="Y51" s="67" t="s">
        <v>173</v>
      </c>
      <c r="Z51" s="31"/>
    </row>
    <row r="52" spans="1:27" ht="28.8" x14ac:dyDescent="0.3">
      <c r="A52" s="65"/>
      <c r="B52" s="30"/>
      <c r="C52" s="67" t="s">
        <v>72</v>
      </c>
      <c r="D52" s="67" t="s">
        <v>73</v>
      </c>
      <c r="E52" s="67">
        <v>33600</v>
      </c>
      <c r="F52" s="77" t="s">
        <v>7</v>
      </c>
      <c r="G52" s="77" t="s">
        <v>109</v>
      </c>
      <c r="H52" s="67" t="s">
        <v>118</v>
      </c>
      <c r="I52" s="67" t="s">
        <v>111</v>
      </c>
      <c r="J52" s="67"/>
      <c r="K52" s="67" t="s">
        <v>113</v>
      </c>
      <c r="L52" s="67" t="s">
        <v>113</v>
      </c>
      <c r="M52" s="67"/>
      <c r="N52" s="78"/>
      <c r="O52" s="78" t="s">
        <v>140</v>
      </c>
      <c r="P52" s="78" t="s">
        <v>144</v>
      </c>
      <c r="Q52" s="78" t="s">
        <v>146</v>
      </c>
      <c r="R52" s="78" t="s">
        <v>145</v>
      </c>
      <c r="S52" s="78" t="s">
        <v>149</v>
      </c>
      <c r="T52" s="78" t="s">
        <v>148</v>
      </c>
      <c r="U52" s="78" t="s">
        <v>142</v>
      </c>
      <c r="V52" s="67" t="s">
        <v>113</v>
      </c>
      <c r="W52" s="67" t="s">
        <v>113</v>
      </c>
      <c r="X52" s="67" t="s">
        <v>113</v>
      </c>
      <c r="Y52" s="67" t="s">
        <v>113</v>
      </c>
      <c r="Z52" s="31" t="s">
        <v>119</v>
      </c>
    </row>
    <row r="53" spans="1:27" ht="28.8" x14ac:dyDescent="0.3">
      <c r="A53" s="65"/>
      <c r="B53" s="30"/>
      <c r="C53" s="67" t="s">
        <v>74</v>
      </c>
      <c r="D53" s="67" t="s">
        <v>75</v>
      </c>
      <c r="E53" s="67">
        <v>42000</v>
      </c>
      <c r="F53" s="77" t="s">
        <v>7</v>
      </c>
      <c r="G53" s="77" t="s">
        <v>109</v>
      </c>
      <c r="H53" s="67" t="s">
        <v>118</v>
      </c>
      <c r="I53" s="67" t="s">
        <v>111</v>
      </c>
      <c r="J53" s="67"/>
      <c r="K53" s="67" t="s">
        <v>113</v>
      </c>
      <c r="L53" s="67" t="s">
        <v>113</v>
      </c>
      <c r="M53" s="67"/>
      <c r="N53" s="78"/>
      <c r="O53" s="78" t="s">
        <v>140</v>
      </c>
      <c r="P53" s="78" t="s">
        <v>144</v>
      </c>
      <c r="Q53" s="78" t="s">
        <v>146</v>
      </c>
      <c r="R53" s="78" t="s">
        <v>145</v>
      </c>
      <c r="S53" s="78" t="s">
        <v>149</v>
      </c>
      <c r="T53" s="78" t="s">
        <v>148</v>
      </c>
      <c r="U53" s="78" t="s">
        <v>142</v>
      </c>
      <c r="V53" s="67" t="s">
        <v>113</v>
      </c>
      <c r="W53" s="67" t="s">
        <v>113</v>
      </c>
      <c r="X53" s="67" t="s">
        <v>113</v>
      </c>
      <c r="Y53" s="67" t="s">
        <v>113</v>
      </c>
      <c r="Z53" s="31"/>
    </row>
    <row r="54" spans="1:27" x14ac:dyDescent="0.3">
      <c r="A54" s="65"/>
      <c r="B54" s="30"/>
      <c r="C54" s="67"/>
      <c r="D54" s="67"/>
      <c r="E54" s="70">
        <f>SUM(E45:E53)</f>
        <v>436800</v>
      </c>
      <c r="F54" s="69"/>
      <c r="G54" s="69"/>
      <c r="H54" s="70"/>
      <c r="I54" s="70"/>
      <c r="J54" s="70"/>
      <c r="K54" s="70"/>
      <c r="L54" s="70"/>
      <c r="M54" s="70"/>
      <c r="N54" s="71"/>
      <c r="O54" s="71"/>
      <c r="P54" s="71"/>
      <c r="Q54" s="71"/>
      <c r="R54" s="71"/>
      <c r="S54" s="71"/>
      <c r="T54" s="71"/>
      <c r="U54" s="71"/>
      <c r="V54" s="67"/>
      <c r="W54" s="67"/>
      <c r="X54" s="67"/>
      <c r="Y54" s="67"/>
      <c r="Z54" s="72"/>
      <c r="AA54" s="79"/>
    </row>
    <row r="55" spans="1:27" x14ac:dyDescent="0.3">
      <c r="A55" s="65"/>
      <c r="B55" s="30"/>
      <c r="C55" s="67"/>
      <c r="D55" s="67"/>
      <c r="E55" s="67"/>
      <c r="F55" s="77"/>
      <c r="G55" s="77"/>
      <c r="H55" s="67"/>
      <c r="I55" s="67"/>
      <c r="J55" s="67"/>
      <c r="K55" s="67"/>
      <c r="L55" s="67"/>
      <c r="M55" s="67"/>
      <c r="N55" s="78"/>
      <c r="O55" s="78"/>
      <c r="P55" s="78"/>
      <c r="Q55" s="78"/>
      <c r="R55" s="78"/>
      <c r="S55" s="78"/>
      <c r="T55" s="78"/>
      <c r="U55" s="78"/>
      <c r="V55" s="67"/>
      <c r="W55" s="67"/>
      <c r="X55" s="67"/>
      <c r="Y55" s="67"/>
      <c r="Z55" s="31"/>
    </row>
    <row r="56" spans="1:27" ht="28.8" x14ac:dyDescent="0.3">
      <c r="A56" s="65" t="s">
        <v>57</v>
      </c>
      <c r="B56" s="73">
        <v>1163005</v>
      </c>
      <c r="C56" s="67" t="s">
        <v>76</v>
      </c>
      <c r="D56" s="67" t="s">
        <v>77</v>
      </c>
      <c r="E56" s="67">
        <v>8400</v>
      </c>
      <c r="F56" s="77" t="s">
        <v>7</v>
      </c>
      <c r="G56" s="77" t="s">
        <v>109</v>
      </c>
      <c r="H56" s="67" t="s">
        <v>118</v>
      </c>
      <c r="I56" s="67" t="s">
        <v>111</v>
      </c>
      <c r="J56" s="67"/>
      <c r="K56" s="67" t="s">
        <v>121</v>
      </c>
      <c r="L56" s="67" t="s">
        <v>111</v>
      </c>
      <c r="M56" s="67"/>
      <c r="N56" s="78"/>
      <c r="O56" s="78" t="s">
        <v>140</v>
      </c>
      <c r="P56" s="78" t="s">
        <v>144</v>
      </c>
      <c r="Q56" s="78" t="s">
        <v>146</v>
      </c>
      <c r="R56" s="78" t="s">
        <v>145</v>
      </c>
      <c r="S56" s="78" t="s">
        <v>149</v>
      </c>
      <c r="T56" s="78" t="s">
        <v>148</v>
      </c>
      <c r="U56" s="78" t="s">
        <v>142</v>
      </c>
      <c r="V56" s="67" t="s">
        <v>170</v>
      </c>
      <c r="W56" s="67" t="s">
        <v>174</v>
      </c>
      <c r="X56" s="67" t="s">
        <v>170</v>
      </c>
      <c r="Y56" s="67" t="s">
        <v>174</v>
      </c>
      <c r="Z56" s="31"/>
    </row>
    <row r="57" spans="1:27" ht="28.8" x14ac:dyDescent="0.3">
      <c r="A57" s="65"/>
      <c r="B57" s="30"/>
      <c r="C57" s="67" t="s">
        <v>78</v>
      </c>
      <c r="D57" s="67" t="s">
        <v>79</v>
      </c>
      <c r="E57" s="67">
        <v>8400</v>
      </c>
      <c r="F57" s="77" t="s">
        <v>7</v>
      </c>
      <c r="G57" s="77" t="s">
        <v>109</v>
      </c>
      <c r="H57" s="67" t="s">
        <v>118</v>
      </c>
      <c r="I57" s="67" t="s">
        <v>111</v>
      </c>
      <c r="J57" s="67"/>
      <c r="K57" s="67" t="s">
        <v>122</v>
      </c>
      <c r="L57" s="67" t="s">
        <v>122</v>
      </c>
      <c r="M57" s="67"/>
      <c r="N57" s="78"/>
      <c r="O57" s="78" t="s">
        <v>140</v>
      </c>
      <c r="P57" s="78" t="s">
        <v>144</v>
      </c>
      <c r="Q57" s="78" t="s">
        <v>146</v>
      </c>
      <c r="R57" s="78" t="s">
        <v>145</v>
      </c>
      <c r="S57" s="78" t="s">
        <v>149</v>
      </c>
      <c r="T57" s="78" t="s">
        <v>148</v>
      </c>
      <c r="U57" s="78" t="s">
        <v>142</v>
      </c>
      <c r="V57" s="67" t="s">
        <v>175</v>
      </c>
      <c r="W57" s="67" t="s">
        <v>175</v>
      </c>
      <c r="X57" s="67" t="s">
        <v>175</v>
      </c>
      <c r="Y57" s="67" t="s">
        <v>175</v>
      </c>
      <c r="Z57" s="31"/>
    </row>
    <row r="58" spans="1:27" ht="28.8" x14ac:dyDescent="0.3">
      <c r="A58" s="65"/>
      <c r="B58" s="30"/>
      <c r="C58" s="67" t="s">
        <v>80</v>
      </c>
      <c r="D58" s="67" t="s">
        <v>81</v>
      </c>
      <c r="E58" s="67">
        <v>16800</v>
      </c>
      <c r="F58" s="77" t="s">
        <v>7</v>
      </c>
      <c r="G58" s="77" t="s">
        <v>109</v>
      </c>
      <c r="H58" s="67" t="s">
        <v>118</v>
      </c>
      <c r="I58" s="67" t="s">
        <v>111</v>
      </c>
      <c r="J58" s="67"/>
      <c r="K58" s="67" t="s">
        <v>115</v>
      </c>
      <c r="L58" s="67" t="s">
        <v>115</v>
      </c>
      <c r="M58" s="67"/>
      <c r="N58" s="78"/>
      <c r="O58" s="78" t="s">
        <v>140</v>
      </c>
      <c r="P58" s="78" t="s">
        <v>144</v>
      </c>
      <c r="Q58" s="78" t="s">
        <v>146</v>
      </c>
      <c r="R58" s="78" t="s">
        <v>145</v>
      </c>
      <c r="S58" s="78" t="s">
        <v>149</v>
      </c>
      <c r="T58" s="78" t="s">
        <v>148</v>
      </c>
      <c r="U58" s="78" t="s">
        <v>142</v>
      </c>
      <c r="V58" s="67" t="s">
        <v>176</v>
      </c>
      <c r="W58" s="67" t="s">
        <v>176</v>
      </c>
      <c r="X58" s="67" t="s">
        <v>176</v>
      </c>
      <c r="Y58" s="67" t="s">
        <v>176</v>
      </c>
      <c r="Z58" s="31" t="s">
        <v>119</v>
      </c>
    </row>
    <row r="59" spans="1:27" ht="28.8" x14ac:dyDescent="0.3">
      <c r="A59" s="65"/>
      <c r="B59" s="30"/>
      <c r="C59" s="67" t="s">
        <v>82</v>
      </c>
      <c r="D59" s="67" t="s">
        <v>83</v>
      </c>
      <c r="E59" s="67">
        <v>25200</v>
      </c>
      <c r="F59" s="77" t="s">
        <v>7</v>
      </c>
      <c r="G59" s="77" t="s">
        <v>109</v>
      </c>
      <c r="H59" s="67" t="s">
        <v>118</v>
      </c>
      <c r="I59" s="67" t="s">
        <v>111</v>
      </c>
      <c r="J59" s="67"/>
      <c r="K59" s="67" t="s">
        <v>115</v>
      </c>
      <c r="L59" s="67" t="s">
        <v>115</v>
      </c>
      <c r="M59" s="67"/>
      <c r="N59" s="78"/>
      <c r="O59" s="78" t="s">
        <v>140</v>
      </c>
      <c r="P59" s="78" t="s">
        <v>144</v>
      </c>
      <c r="Q59" s="78" t="s">
        <v>146</v>
      </c>
      <c r="R59" s="78" t="s">
        <v>145</v>
      </c>
      <c r="S59" s="78" t="s">
        <v>149</v>
      </c>
      <c r="T59" s="78" t="s">
        <v>148</v>
      </c>
      <c r="U59" s="78" t="s">
        <v>142</v>
      </c>
      <c r="V59" s="67" t="s">
        <v>176</v>
      </c>
      <c r="W59" s="67" t="s">
        <v>176</v>
      </c>
      <c r="X59" s="67" t="s">
        <v>176</v>
      </c>
      <c r="Y59" s="67" t="s">
        <v>176</v>
      </c>
      <c r="Z59" s="31"/>
    </row>
    <row r="60" spans="1:27" ht="28.8" x14ac:dyDescent="0.3">
      <c r="A60" s="65"/>
      <c r="B60" s="30"/>
      <c r="C60" s="67" t="s">
        <v>84</v>
      </c>
      <c r="D60" s="67" t="s">
        <v>85</v>
      </c>
      <c r="E60" s="67">
        <v>25200</v>
      </c>
      <c r="F60" s="77" t="s">
        <v>7</v>
      </c>
      <c r="G60" s="77" t="s">
        <v>109</v>
      </c>
      <c r="H60" s="67" t="s">
        <v>118</v>
      </c>
      <c r="I60" s="67" t="s">
        <v>111</v>
      </c>
      <c r="J60" s="67"/>
      <c r="K60" s="67" t="s">
        <v>123</v>
      </c>
      <c r="L60" s="67" t="s">
        <v>123</v>
      </c>
      <c r="M60" s="67"/>
      <c r="N60" s="78"/>
      <c r="O60" s="78" t="s">
        <v>140</v>
      </c>
      <c r="P60" s="78" t="s">
        <v>144</v>
      </c>
      <c r="Q60" s="78" t="s">
        <v>146</v>
      </c>
      <c r="R60" s="78" t="s">
        <v>145</v>
      </c>
      <c r="S60" s="78" t="s">
        <v>149</v>
      </c>
      <c r="T60" s="78" t="s">
        <v>148</v>
      </c>
      <c r="U60" s="78" t="s">
        <v>142</v>
      </c>
      <c r="V60" s="67" t="s">
        <v>177</v>
      </c>
      <c r="W60" s="67" t="s">
        <v>177</v>
      </c>
      <c r="X60" s="67" t="s">
        <v>177</v>
      </c>
      <c r="Y60" s="67" t="s">
        <v>177</v>
      </c>
      <c r="Z60" s="31"/>
    </row>
    <row r="61" spans="1:27" ht="28.8" x14ac:dyDescent="0.3">
      <c r="A61" s="65"/>
      <c r="B61" s="30"/>
      <c r="C61" s="67" t="s">
        <v>86</v>
      </c>
      <c r="D61" s="67" t="s">
        <v>87</v>
      </c>
      <c r="E61" s="67">
        <v>33600</v>
      </c>
      <c r="F61" s="77" t="s">
        <v>7</v>
      </c>
      <c r="G61" s="77" t="s">
        <v>109</v>
      </c>
      <c r="H61" s="67" t="s">
        <v>118</v>
      </c>
      <c r="I61" s="67" t="s">
        <v>111</v>
      </c>
      <c r="J61" s="67"/>
      <c r="K61" s="67" t="s">
        <v>112</v>
      </c>
      <c r="L61" s="67" t="s">
        <v>113</v>
      </c>
      <c r="M61" s="67"/>
      <c r="N61" s="78"/>
      <c r="O61" s="78" t="s">
        <v>140</v>
      </c>
      <c r="P61" s="78" t="s">
        <v>144</v>
      </c>
      <c r="Q61" s="78" t="s">
        <v>146</v>
      </c>
      <c r="R61" s="78" t="s">
        <v>145</v>
      </c>
      <c r="S61" s="78" t="s">
        <v>149</v>
      </c>
      <c r="T61" s="78" t="s">
        <v>148</v>
      </c>
      <c r="U61" s="78" t="s">
        <v>142</v>
      </c>
      <c r="V61" s="67" t="s">
        <v>113</v>
      </c>
      <c r="W61" s="67" t="s">
        <v>171</v>
      </c>
      <c r="X61" s="67" t="s">
        <v>113</v>
      </c>
      <c r="Y61" s="67" t="s">
        <v>171</v>
      </c>
      <c r="Z61" s="31"/>
    </row>
    <row r="62" spans="1:27" ht="28.8" x14ac:dyDescent="0.3">
      <c r="A62" s="65"/>
      <c r="B62" s="30"/>
      <c r="C62" s="67" t="s">
        <v>88</v>
      </c>
      <c r="D62" s="67" t="s">
        <v>89</v>
      </c>
      <c r="E62" s="67">
        <v>16800</v>
      </c>
      <c r="F62" s="77" t="s">
        <v>7</v>
      </c>
      <c r="G62" s="77" t="s">
        <v>109</v>
      </c>
      <c r="H62" s="67" t="s">
        <v>118</v>
      </c>
      <c r="I62" s="67" t="s">
        <v>111</v>
      </c>
      <c r="J62" s="67"/>
      <c r="K62" s="67" t="s">
        <v>116</v>
      </c>
      <c r="L62" s="67" t="s">
        <v>113</v>
      </c>
      <c r="M62" s="67"/>
      <c r="N62" s="78"/>
      <c r="O62" s="78" t="s">
        <v>140</v>
      </c>
      <c r="P62" s="78" t="s">
        <v>144</v>
      </c>
      <c r="Q62" s="78" t="s">
        <v>146</v>
      </c>
      <c r="R62" s="78" t="s">
        <v>145</v>
      </c>
      <c r="S62" s="78" t="s">
        <v>149</v>
      </c>
      <c r="T62" s="78" t="s">
        <v>148</v>
      </c>
      <c r="U62" s="78" t="s">
        <v>142</v>
      </c>
      <c r="V62" s="67" t="s">
        <v>113</v>
      </c>
      <c r="W62" s="67" t="s">
        <v>173</v>
      </c>
      <c r="X62" s="67" t="s">
        <v>113</v>
      </c>
      <c r="Y62" s="67" t="s">
        <v>173</v>
      </c>
      <c r="Z62" s="31"/>
    </row>
    <row r="63" spans="1:27" x14ac:dyDescent="0.3">
      <c r="A63" s="65"/>
      <c r="B63" s="30"/>
      <c r="C63" s="67"/>
      <c r="D63" s="67"/>
      <c r="E63" s="70">
        <f>SUM(E56:E62)</f>
        <v>134400</v>
      </c>
      <c r="F63" s="69"/>
      <c r="G63" s="69"/>
      <c r="H63" s="70"/>
      <c r="I63" s="70"/>
      <c r="J63" s="70"/>
      <c r="K63" s="70"/>
      <c r="L63" s="70"/>
      <c r="M63" s="70"/>
      <c r="N63" s="71"/>
      <c r="O63" s="71"/>
      <c r="P63" s="71"/>
      <c r="Q63" s="71"/>
      <c r="R63" s="71"/>
      <c r="S63" s="71"/>
      <c r="T63" s="71"/>
      <c r="U63" s="71"/>
      <c r="V63" s="67"/>
      <c r="W63" s="67"/>
      <c r="X63" s="67"/>
      <c r="Y63" s="67"/>
      <c r="Z63" s="72"/>
      <c r="AA63" s="79"/>
    </row>
    <row r="64" spans="1:27" x14ac:dyDescent="0.3">
      <c r="A64" s="65"/>
      <c r="B64" s="30"/>
      <c r="C64" s="67"/>
      <c r="D64" s="67"/>
      <c r="E64" s="67"/>
      <c r="F64" s="77"/>
      <c r="G64" s="77"/>
      <c r="H64" s="67"/>
      <c r="I64" s="67"/>
      <c r="J64" s="67"/>
      <c r="K64" s="67"/>
      <c r="L64" s="67"/>
      <c r="M64" s="67"/>
      <c r="N64" s="78"/>
      <c r="O64" s="78"/>
      <c r="P64" s="78"/>
      <c r="Q64" s="78"/>
      <c r="R64" s="78"/>
      <c r="S64" s="78"/>
      <c r="T64" s="78"/>
      <c r="U64" s="78"/>
      <c r="V64" s="67"/>
      <c r="W64" s="67"/>
      <c r="X64" s="67"/>
      <c r="Y64" s="67"/>
      <c r="Z64" s="31"/>
    </row>
    <row r="65" spans="1:27" ht="28.8" x14ac:dyDescent="0.3">
      <c r="A65" s="65" t="s">
        <v>57</v>
      </c>
      <c r="B65" s="73">
        <v>1163007</v>
      </c>
      <c r="C65" s="67" t="s">
        <v>90</v>
      </c>
      <c r="D65" s="67" t="s">
        <v>91</v>
      </c>
      <c r="E65" s="67">
        <v>50400</v>
      </c>
      <c r="F65" s="77" t="s">
        <v>7</v>
      </c>
      <c r="G65" s="77" t="s">
        <v>109</v>
      </c>
      <c r="H65" s="67" t="s">
        <v>10</v>
      </c>
      <c r="I65" s="67" t="s">
        <v>112</v>
      </c>
      <c r="J65" s="67"/>
      <c r="K65" s="67" t="s">
        <v>113</v>
      </c>
      <c r="L65" s="67" t="s">
        <v>113</v>
      </c>
      <c r="M65" s="67"/>
      <c r="N65" s="78"/>
      <c r="O65" s="78" t="s">
        <v>140</v>
      </c>
      <c r="P65" s="78" t="s">
        <v>144</v>
      </c>
      <c r="Q65" s="78" t="s">
        <v>146</v>
      </c>
      <c r="R65" s="78" t="s">
        <v>145</v>
      </c>
      <c r="S65" s="78" t="s">
        <v>149</v>
      </c>
      <c r="T65" s="78" t="s">
        <v>148</v>
      </c>
      <c r="U65" s="78" t="s">
        <v>142</v>
      </c>
      <c r="V65" s="67" t="s">
        <v>159</v>
      </c>
      <c r="W65" s="67" t="s">
        <v>159</v>
      </c>
      <c r="X65" s="67" t="s">
        <v>159</v>
      </c>
      <c r="Y65" s="67" t="s">
        <v>159</v>
      </c>
      <c r="Z65" s="31"/>
    </row>
    <row r="66" spans="1:27" ht="28.8" x14ac:dyDescent="0.3">
      <c r="A66" s="65"/>
      <c r="B66" s="86" t="s">
        <v>119</v>
      </c>
      <c r="C66" s="67" t="s">
        <v>92</v>
      </c>
      <c r="D66" s="67" t="s">
        <v>93</v>
      </c>
      <c r="E66" s="67">
        <v>50400</v>
      </c>
      <c r="F66" s="77" t="s">
        <v>7</v>
      </c>
      <c r="G66" s="77" t="s">
        <v>109</v>
      </c>
      <c r="H66" s="67" t="s">
        <v>10</v>
      </c>
      <c r="I66" s="67" t="s">
        <v>120</v>
      </c>
      <c r="J66" s="67"/>
      <c r="K66" s="67" t="s">
        <v>113</v>
      </c>
      <c r="L66" s="67" t="s">
        <v>113</v>
      </c>
      <c r="M66" s="67"/>
      <c r="N66" s="78"/>
      <c r="O66" s="78" t="s">
        <v>140</v>
      </c>
      <c r="P66" s="78" t="s">
        <v>144</v>
      </c>
      <c r="Q66" s="78" t="s">
        <v>146</v>
      </c>
      <c r="R66" s="78" t="s">
        <v>145</v>
      </c>
      <c r="S66" s="78" t="s">
        <v>149</v>
      </c>
      <c r="T66" s="78" t="s">
        <v>148</v>
      </c>
      <c r="U66" s="78" t="s">
        <v>142</v>
      </c>
      <c r="V66" s="67" t="s">
        <v>159</v>
      </c>
      <c r="W66" s="67" t="s">
        <v>159</v>
      </c>
      <c r="X66" s="67" t="s">
        <v>159</v>
      </c>
      <c r="Y66" s="67" t="s">
        <v>159</v>
      </c>
      <c r="Z66" s="31"/>
    </row>
    <row r="67" spans="1:27" ht="28.8" x14ac:dyDescent="0.3">
      <c r="A67" s="65"/>
      <c r="B67" s="30"/>
      <c r="C67" s="67" t="s">
        <v>94</v>
      </c>
      <c r="D67" s="67" t="s">
        <v>95</v>
      </c>
      <c r="E67" s="67">
        <v>8400</v>
      </c>
      <c r="F67" s="77" t="s">
        <v>7</v>
      </c>
      <c r="G67" s="77" t="s">
        <v>109</v>
      </c>
      <c r="H67" s="67" t="s">
        <v>10</v>
      </c>
      <c r="I67" s="67" t="s">
        <v>126</v>
      </c>
      <c r="J67" s="67"/>
      <c r="K67" s="67" t="s">
        <v>113</v>
      </c>
      <c r="L67" s="67" t="s">
        <v>113</v>
      </c>
      <c r="M67" s="67"/>
      <c r="N67" s="78"/>
      <c r="O67" s="78" t="s">
        <v>140</v>
      </c>
      <c r="P67" s="78" t="s">
        <v>144</v>
      </c>
      <c r="Q67" s="78" t="s">
        <v>146</v>
      </c>
      <c r="R67" s="78" t="s">
        <v>145</v>
      </c>
      <c r="S67" s="78" t="s">
        <v>149</v>
      </c>
      <c r="T67" s="78" t="s">
        <v>148</v>
      </c>
      <c r="U67" s="78" t="s">
        <v>142</v>
      </c>
      <c r="V67" s="67" t="s">
        <v>159</v>
      </c>
      <c r="W67" s="67" t="s">
        <v>159</v>
      </c>
      <c r="X67" s="67" t="s">
        <v>159</v>
      </c>
      <c r="Y67" s="67" t="s">
        <v>159</v>
      </c>
      <c r="Z67" s="31"/>
    </row>
    <row r="68" spans="1:27" ht="28.8" x14ac:dyDescent="0.3">
      <c r="A68" s="65"/>
      <c r="B68" s="30"/>
      <c r="C68" s="67" t="s">
        <v>96</v>
      </c>
      <c r="D68" s="67" t="s">
        <v>97</v>
      </c>
      <c r="E68" s="67">
        <v>16800</v>
      </c>
      <c r="F68" s="77" t="s">
        <v>7</v>
      </c>
      <c r="G68" s="77" t="s">
        <v>109</v>
      </c>
      <c r="H68" s="67" t="s">
        <v>10</v>
      </c>
      <c r="I68" s="67" t="s">
        <v>117</v>
      </c>
      <c r="J68" s="67"/>
      <c r="K68" s="67" t="s">
        <v>113</v>
      </c>
      <c r="L68" s="67" t="s">
        <v>113</v>
      </c>
      <c r="M68" s="67"/>
      <c r="N68" s="78"/>
      <c r="O68" s="78" t="s">
        <v>140</v>
      </c>
      <c r="P68" s="78" t="s">
        <v>144</v>
      </c>
      <c r="Q68" s="78" t="s">
        <v>146</v>
      </c>
      <c r="R68" s="78" t="s">
        <v>145</v>
      </c>
      <c r="S68" s="78" t="s">
        <v>149</v>
      </c>
      <c r="T68" s="78" t="s">
        <v>148</v>
      </c>
      <c r="U68" s="78" t="s">
        <v>142</v>
      </c>
      <c r="V68" s="67" t="s">
        <v>159</v>
      </c>
      <c r="W68" s="67" t="s">
        <v>159</v>
      </c>
      <c r="X68" s="67" t="s">
        <v>159</v>
      </c>
      <c r="Y68" s="67" t="s">
        <v>159</v>
      </c>
      <c r="Z68" s="31"/>
    </row>
    <row r="69" spans="1:27" x14ac:dyDescent="0.3">
      <c r="A69" s="65"/>
      <c r="B69" s="30"/>
      <c r="C69" s="67"/>
      <c r="D69" s="67"/>
      <c r="E69" s="70">
        <f>SUM(E65:E68)</f>
        <v>126000</v>
      </c>
      <c r="F69" s="69"/>
      <c r="G69" s="69"/>
      <c r="H69" s="70"/>
      <c r="I69" s="70"/>
      <c r="J69" s="70"/>
      <c r="K69" s="70"/>
      <c r="L69" s="70"/>
      <c r="M69" s="70"/>
      <c r="N69" s="71"/>
      <c r="O69" s="71"/>
      <c r="P69" s="78"/>
      <c r="Q69" s="78"/>
      <c r="R69" s="78"/>
      <c r="S69" s="78"/>
      <c r="T69" s="78"/>
      <c r="U69" s="78"/>
      <c r="V69" s="67"/>
      <c r="W69" s="67"/>
      <c r="X69" s="67"/>
      <c r="Y69" s="67"/>
      <c r="Z69" s="72"/>
      <c r="AA69" s="79"/>
    </row>
    <row r="70" spans="1:27" x14ac:dyDescent="0.3">
      <c r="A70" s="65"/>
      <c r="B70" s="30"/>
      <c r="C70" s="67"/>
      <c r="D70" s="67"/>
      <c r="E70" s="67"/>
      <c r="F70" s="77"/>
      <c r="G70" s="77"/>
      <c r="H70" s="67"/>
      <c r="I70" s="67"/>
      <c r="J70" s="67"/>
      <c r="K70" s="67"/>
      <c r="L70" s="67"/>
      <c r="M70" s="67"/>
      <c r="N70" s="78"/>
      <c r="O70" s="78"/>
      <c r="P70" s="78"/>
      <c r="Q70" s="78"/>
      <c r="R70" s="78"/>
      <c r="S70" s="78"/>
      <c r="T70" s="78"/>
      <c r="U70" s="78"/>
      <c r="V70" s="67"/>
      <c r="W70" s="67"/>
      <c r="X70" s="67"/>
      <c r="Y70" s="67"/>
      <c r="Z70" s="31"/>
    </row>
    <row r="71" spans="1:27" ht="28.8" x14ac:dyDescent="0.3">
      <c r="A71" s="65" t="s">
        <v>57</v>
      </c>
      <c r="B71" s="73">
        <v>1163008</v>
      </c>
      <c r="C71" s="67" t="s">
        <v>98</v>
      </c>
      <c r="D71" s="67" t="s">
        <v>99</v>
      </c>
      <c r="E71" s="67">
        <v>25200</v>
      </c>
      <c r="F71" s="77" t="s">
        <v>7</v>
      </c>
      <c r="G71" s="77" t="s">
        <v>109</v>
      </c>
      <c r="H71" s="67" t="s">
        <v>124</v>
      </c>
      <c r="I71" s="67" t="s">
        <v>112</v>
      </c>
      <c r="J71" s="67"/>
      <c r="K71" s="67" t="s">
        <v>112</v>
      </c>
      <c r="L71" s="67" t="s">
        <v>111</v>
      </c>
      <c r="M71" s="67"/>
      <c r="N71" s="78"/>
      <c r="O71" s="78" t="s">
        <v>140</v>
      </c>
      <c r="P71" s="78" t="s">
        <v>144</v>
      </c>
      <c r="Q71" s="78" t="s">
        <v>146</v>
      </c>
      <c r="R71" s="78" t="s">
        <v>145</v>
      </c>
      <c r="S71" s="78" t="s">
        <v>149</v>
      </c>
      <c r="T71" s="78" t="s">
        <v>148</v>
      </c>
      <c r="U71" s="78" t="s">
        <v>142</v>
      </c>
      <c r="V71" s="67" t="s">
        <v>170</v>
      </c>
      <c r="W71" s="67" t="s">
        <v>171</v>
      </c>
      <c r="X71" s="67" t="s">
        <v>170</v>
      </c>
      <c r="Y71" s="67" t="s">
        <v>171</v>
      </c>
      <c r="Z71" s="31"/>
    </row>
    <row r="72" spans="1:27" ht="28.8" x14ac:dyDescent="0.3">
      <c r="A72" s="65"/>
      <c r="B72" s="30"/>
      <c r="C72" s="67" t="s">
        <v>100</v>
      </c>
      <c r="D72" s="67" t="s">
        <v>101</v>
      </c>
      <c r="E72" s="67">
        <v>8400</v>
      </c>
      <c r="F72" s="77" t="s">
        <v>7</v>
      </c>
      <c r="G72" s="77" t="s">
        <v>109</v>
      </c>
      <c r="H72" s="67" t="s">
        <v>124</v>
      </c>
      <c r="I72" s="67" t="s">
        <v>115</v>
      </c>
      <c r="J72" s="67"/>
      <c r="K72" s="67" t="s">
        <v>115</v>
      </c>
      <c r="L72" s="67" t="s">
        <v>111</v>
      </c>
      <c r="M72" s="67"/>
      <c r="N72" s="78"/>
      <c r="O72" s="78" t="s">
        <v>140</v>
      </c>
      <c r="P72" s="78" t="s">
        <v>144</v>
      </c>
      <c r="Q72" s="78" t="s">
        <v>146</v>
      </c>
      <c r="R72" s="78" t="s">
        <v>145</v>
      </c>
      <c r="S72" s="78" t="s">
        <v>149</v>
      </c>
      <c r="T72" s="78" t="s">
        <v>148</v>
      </c>
      <c r="U72" s="78" t="s">
        <v>142</v>
      </c>
      <c r="V72" s="67" t="s">
        <v>170</v>
      </c>
      <c r="W72" s="67" t="s">
        <v>176</v>
      </c>
      <c r="X72" s="67" t="s">
        <v>170</v>
      </c>
      <c r="Y72" s="67" t="s">
        <v>176</v>
      </c>
      <c r="Z72" s="31"/>
    </row>
    <row r="73" spans="1:27" x14ac:dyDescent="0.3">
      <c r="A73" s="65"/>
      <c r="B73" s="30"/>
      <c r="C73" s="67"/>
      <c r="D73" s="67"/>
      <c r="E73" s="70">
        <f>SUM(E71:E72)</f>
        <v>33600</v>
      </c>
      <c r="F73" s="69"/>
      <c r="G73" s="69"/>
      <c r="H73" s="70"/>
      <c r="I73" s="70"/>
      <c r="J73" s="70"/>
      <c r="K73" s="70"/>
      <c r="L73" s="70"/>
      <c r="M73" s="70"/>
      <c r="N73" s="71"/>
      <c r="O73" s="71"/>
      <c r="P73" s="71"/>
      <c r="Q73" s="71"/>
      <c r="R73" s="71"/>
      <c r="S73" s="71"/>
      <c r="T73" s="71"/>
      <c r="U73" s="71"/>
      <c r="V73" s="67"/>
      <c r="W73" s="67"/>
      <c r="X73" s="67"/>
      <c r="Y73" s="67"/>
      <c r="Z73" s="72"/>
      <c r="AA73" s="79"/>
    </row>
    <row r="74" spans="1:27" x14ac:dyDescent="0.3">
      <c r="A74" s="65"/>
      <c r="B74" s="30"/>
      <c r="C74" s="67"/>
      <c r="D74" s="67"/>
      <c r="E74" s="67"/>
      <c r="F74" s="77"/>
      <c r="G74" s="77"/>
      <c r="H74" s="67"/>
      <c r="I74" s="67"/>
      <c r="J74" s="67"/>
      <c r="K74" s="67"/>
      <c r="L74" s="67"/>
      <c r="M74" s="67"/>
      <c r="N74" s="78"/>
      <c r="O74" s="78"/>
      <c r="P74" s="78"/>
      <c r="Q74" s="78"/>
      <c r="R74" s="78"/>
      <c r="S74" s="78"/>
      <c r="T74" s="78"/>
      <c r="U74" s="78"/>
      <c r="V74" s="67"/>
      <c r="W74" s="67"/>
      <c r="X74" s="67"/>
      <c r="Y74" s="67"/>
      <c r="Z74" s="31"/>
    </row>
    <row r="75" spans="1:27" ht="28.8" x14ac:dyDescent="0.3">
      <c r="A75" s="65" t="s">
        <v>57</v>
      </c>
      <c r="B75" s="73">
        <v>1163010</v>
      </c>
      <c r="C75" s="67" t="s">
        <v>102</v>
      </c>
      <c r="D75" s="67" t="s">
        <v>103</v>
      </c>
      <c r="E75" s="67">
        <v>8400</v>
      </c>
      <c r="F75" s="77" t="s">
        <v>7</v>
      </c>
      <c r="G75" s="77" t="s">
        <v>109</v>
      </c>
      <c r="H75" s="67" t="s">
        <v>118</v>
      </c>
      <c r="I75" s="67" t="s">
        <v>111</v>
      </c>
      <c r="J75" s="67"/>
      <c r="K75" s="67" t="s">
        <v>111</v>
      </c>
      <c r="L75" s="67" t="s">
        <v>112</v>
      </c>
      <c r="M75" s="67"/>
      <c r="N75" s="78"/>
      <c r="O75" s="78" t="s">
        <v>140</v>
      </c>
      <c r="P75" s="78" t="s">
        <v>144</v>
      </c>
      <c r="Q75" s="78" t="s">
        <v>146</v>
      </c>
      <c r="R75" s="78" t="s">
        <v>145</v>
      </c>
      <c r="S75" s="78" t="s">
        <v>149</v>
      </c>
      <c r="T75" s="78" t="s">
        <v>148</v>
      </c>
      <c r="U75" s="78" t="s">
        <v>142</v>
      </c>
      <c r="V75" s="87" t="s">
        <v>178</v>
      </c>
      <c r="W75" s="67" t="s">
        <v>170</v>
      </c>
      <c r="X75" s="87" t="s">
        <v>178</v>
      </c>
      <c r="Y75" s="67" t="s">
        <v>170</v>
      </c>
      <c r="Z75" s="31"/>
    </row>
    <row r="76" spans="1:27" ht="28.8" x14ac:dyDescent="0.3">
      <c r="A76" s="65"/>
      <c r="B76" s="30"/>
      <c r="C76" s="67" t="s">
        <v>104</v>
      </c>
      <c r="D76" s="67" t="s">
        <v>105</v>
      </c>
      <c r="E76" s="67">
        <v>8400</v>
      </c>
      <c r="F76" s="77" t="s">
        <v>7</v>
      </c>
      <c r="G76" s="77" t="s">
        <v>109</v>
      </c>
      <c r="H76" s="67" t="s">
        <v>118</v>
      </c>
      <c r="I76" s="67" t="s">
        <v>111</v>
      </c>
      <c r="J76" s="67"/>
      <c r="K76" s="67" t="s">
        <v>111</v>
      </c>
      <c r="L76" s="67" t="s">
        <v>115</v>
      </c>
      <c r="M76" s="67"/>
      <c r="N76" s="78"/>
      <c r="O76" s="78" t="s">
        <v>140</v>
      </c>
      <c r="P76" s="78" t="s">
        <v>144</v>
      </c>
      <c r="Q76" s="78" t="s">
        <v>146</v>
      </c>
      <c r="R76" s="78" t="s">
        <v>145</v>
      </c>
      <c r="S76" s="78" t="s">
        <v>149</v>
      </c>
      <c r="T76" s="78" t="s">
        <v>148</v>
      </c>
      <c r="U76" s="78" t="s">
        <v>142</v>
      </c>
      <c r="V76" s="67" t="s">
        <v>176</v>
      </c>
      <c r="W76" s="67" t="s">
        <v>170</v>
      </c>
      <c r="X76" s="67" t="s">
        <v>176</v>
      </c>
      <c r="Y76" s="67" t="s">
        <v>170</v>
      </c>
      <c r="Z76" s="31"/>
    </row>
    <row r="77" spans="1:27" x14ac:dyDescent="0.3">
      <c r="A77" s="65"/>
      <c r="B77" s="30"/>
      <c r="C77" s="67"/>
      <c r="D77" s="67"/>
      <c r="E77" s="70">
        <f>SUM(E75:E76)</f>
        <v>16800</v>
      </c>
      <c r="F77" s="70"/>
      <c r="G77" s="69"/>
      <c r="H77" s="70"/>
      <c r="I77" s="70"/>
      <c r="J77" s="70"/>
      <c r="K77" s="70"/>
      <c r="L77" s="70"/>
      <c r="M77" s="70"/>
      <c r="N77" s="71"/>
      <c r="O77" s="71"/>
      <c r="P77" s="71"/>
      <c r="Q77" s="71"/>
      <c r="R77" s="71"/>
      <c r="S77" s="71"/>
      <c r="T77" s="71"/>
      <c r="U77" s="71"/>
      <c r="V77" s="70"/>
      <c r="W77" s="70"/>
      <c r="X77" s="70"/>
      <c r="Y77" s="70"/>
      <c r="Z77" s="72"/>
      <c r="AA77" s="79"/>
    </row>
    <row r="78" spans="1:27" x14ac:dyDescent="0.3">
      <c r="A78" s="65"/>
      <c r="B78" s="30"/>
      <c r="C78" s="67"/>
      <c r="D78" s="67"/>
      <c r="E78" s="67"/>
      <c r="F78" s="67"/>
      <c r="G78" s="77"/>
      <c r="H78" s="67"/>
      <c r="I78" s="67"/>
      <c r="J78" s="67"/>
      <c r="K78" s="67"/>
      <c r="L78" s="67"/>
      <c r="M78" s="67"/>
      <c r="N78" s="78"/>
      <c r="O78" s="78"/>
      <c r="P78" s="78"/>
      <c r="Q78" s="78"/>
      <c r="R78" s="78"/>
      <c r="S78" s="78"/>
      <c r="T78" s="78"/>
      <c r="U78" s="78"/>
      <c r="V78" s="67"/>
      <c r="W78" s="67"/>
      <c r="X78" s="67"/>
      <c r="Y78" s="67"/>
      <c r="Z78" s="31"/>
    </row>
    <row r="79" spans="1:27" x14ac:dyDescent="0.3">
      <c r="A79" s="65"/>
      <c r="B79" s="30"/>
      <c r="C79" s="67"/>
      <c r="D79" s="67"/>
      <c r="E79" s="76">
        <f>E77+E73+E63+E54+E43+E36+E29+E19+E12+E69</f>
        <v>1806000</v>
      </c>
      <c r="F79" s="70"/>
      <c r="G79" s="69"/>
      <c r="H79" s="70"/>
      <c r="I79" s="70"/>
      <c r="J79" s="70"/>
      <c r="K79" s="70"/>
      <c r="L79" s="70"/>
      <c r="M79" s="70"/>
      <c r="N79" s="71"/>
      <c r="O79" s="71"/>
      <c r="P79" s="71"/>
      <c r="Q79" s="71"/>
      <c r="R79" s="71"/>
      <c r="S79" s="71"/>
      <c r="T79" s="71"/>
      <c r="U79" s="71"/>
      <c r="V79" s="70"/>
      <c r="W79" s="70"/>
      <c r="X79" s="70"/>
      <c r="Y79" s="70"/>
      <c r="Z79" s="72"/>
      <c r="AA79" s="79"/>
    </row>
    <row r="80" spans="1:27" ht="15" thickBot="1" x14ac:dyDescent="0.35">
      <c r="A80" s="88"/>
      <c r="B80" s="89"/>
      <c r="C80" s="90"/>
      <c r="D80" s="90"/>
      <c r="E80" s="90"/>
      <c r="F80" s="90"/>
      <c r="G80" s="91"/>
      <c r="H80" s="90"/>
      <c r="I80" s="90"/>
      <c r="J80" s="90"/>
      <c r="K80" s="90"/>
      <c r="L80" s="90"/>
      <c r="M80" s="90"/>
      <c r="N80" s="92"/>
      <c r="O80" s="92"/>
      <c r="P80" s="92"/>
      <c r="Q80" s="92"/>
      <c r="R80" s="92"/>
      <c r="S80" s="92"/>
      <c r="T80" s="92"/>
      <c r="U80" s="92"/>
      <c r="V80" s="92"/>
      <c r="W80" s="92"/>
      <c r="X80" s="92"/>
      <c r="Y80" s="92"/>
      <c r="Z80" s="93"/>
      <c r="AA80" s="94"/>
    </row>
  </sheetData>
  <pageMargins left="0.7" right="0.7" top="0.75" bottom="0.75" header="0.3" footer="0.3"/>
  <pageSetup scale="2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29"/>
  <sheetViews>
    <sheetView topLeftCell="F13" zoomScale="125" zoomScaleNormal="160" workbookViewId="0">
      <selection activeCell="N12" sqref="N12"/>
    </sheetView>
  </sheetViews>
  <sheetFormatPr defaultRowHeight="14.4" x14ac:dyDescent="0.3"/>
  <cols>
    <col min="1" max="1" width="14.109375" customWidth="1"/>
    <col min="2" max="2" width="16.88671875" bestFit="1" customWidth="1"/>
    <col min="3" max="3" width="15.77734375" customWidth="1"/>
    <col min="4" max="6" width="13.5546875" customWidth="1"/>
    <col min="7" max="7" width="12.6640625" customWidth="1"/>
    <col min="8" max="8" width="15.6640625" bestFit="1" customWidth="1"/>
    <col min="9" max="10" width="15.6640625" customWidth="1"/>
    <col min="11" max="15" width="13.6640625" customWidth="1"/>
    <col min="16" max="16" width="11.88671875" customWidth="1"/>
    <col min="17" max="17" width="13.5546875" customWidth="1"/>
    <col min="18" max="18" width="15.6640625" bestFit="1" customWidth="1"/>
    <col min="35" max="35" width="9" customWidth="1"/>
  </cols>
  <sheetData>
    <row r="1" spans="1:18" x14ac:dyDescent="0.3">
      <c r="A1" s="102" t="s">
        <v>511</v>
      </c>
      <c r="B1" s="102"/>
      <c r="C1" s="102"/>
      <c r="D1" s="102"/>
      <c r="E1" s="102"/>
      <c r="F1" s="102"/>
      <c r="G1" s="102"/>
      <c r="H1" s="102"/>
      <c r="I1" s="102"/>
      <c r="J1" s="102"/>
      <c r="K1" s="102"/>
      <c r="L1" s="102"/>
      <c r="M1" s="102"/>
      <c r="N1" s="102"/>
      <c r="O1" s="102"/>
      <c r="P1" s="102"/>
      <c r="Q1" s="102"/>
      <c r="R1" s="102"/>
    </row>
    <row r="2" spans="1:18" x14ac:dyDescent="0.3">
      <c r="A2" s="102"/>
      <c r="B2" s="102"/>
      <c r="C2" s="102"/>
      <c r="D2" s="102"/>
      <c r="E2" s="102"/>
      <c r="F2" s="102"/>
      <c r="G2" s="102"/>
      <c r="H2" s="102"/>
      <c r="I2" s="102"/>
      <c r="J2" s="102"/>
      <c r="K2" s="102"/>
      <c r="L2" s="102"/>
      <c r="M2" s="102"/>
      <c r="N2" s="102"/>
      <c r="O2" s="102"/>
      <c r="P2" s="102"/>
      <c r="Q2" s="102"/>
      <c r="R2" s="102"/>
    </row>
    <row r="3" spans="1:18" s="95" customFormat="1" ht="57.6" x14ac:dyDescent="0.3">
      <c r="A3" s="77" t="s">
        <v>186</v>
      </c>
      <c r="B3" s="77" t="s">
        <v>319</v>
      </c>
      <c r="C3" s="77" t="s">
        <v>524</v>
      </c>
      <c r="D3" s="77" t="s">
        <v>525</v>
      </c>
      <c r="E3" s="77" t="s">
        <v>535</v>
      </c>
      <c r="F3" s="77" t="s">
        <v>534</v>
      </c>
      <c r="G3" s="77" t="s">
        <v>517</v>
      </c>
      <c r="H3" s="77" t="s">
        <v>512</v>
      </c>
      <c r="I3" s="77" t="s">
        <v>529</v>
      </c>
      <c r="J3" s="77" t="s">
        <v>530</v>
      </c>
      <c r="K3" s="77" t="s">
        <v>513</v>
      </c>
      <c r="L3" s="77" t="s">
        <v>535</v>
      </c>
      <c r="M3" s="77" t="s">
        <v>534</v>
      </c>
      <c r="N3" s="77" t="s">
        <v>526</v>
      </c>
      <c r="O3" s="77" t="s">
        <v>527</v>
      </c>
      <c r="P3" s="77" t="s">
        <v>514</v>
      </c>
      <c r="Q3" s="77" t="s">
        <v>515</v>
      </c>
      <c r="R3" s="77" t="s">
        <v>516</v>
      </c>
    </row>
    <row r="4" spans="1:18" x14ac:dyDescent="0.3">
      <c r="A4" s="3" t="s">
        <v>155</v>
      </c>
      <c r="B4" s="3" t="str">
        <f>_xlfn.XLOOKUP(A4,'Sunglasses BOM'!$W$7:$W$76,'Sunglasses BOM'!$K$7:$K$76)</f>
        <v>Black</v>
      </c>
      <c r="C4" s="3">
        <f>IFERROR(2*SUMIFS('Sunglasses BOM'!$E:$E,
                  'Sunglasses BOM'!$F:$F,"ABS",
                  'Sunglasses BOM'!$W:$W,$A4),0)</f>
        <v>436800</v>
      </c>
      <c r="D4" s="3">
        <f>IFERROR(SUMIFS('Sunglasses BOM'!$E:$E,
                  'Sunglasses BOM'!$F:$F,"ABS",
                  'Sunglasses BOM'!$V:$V,$A4),0)</f>
        <v>218400</v>
      </c>
      <c r="E4" s="3">
        <v>3.8</v>
      </c>
      <c r="F4" s="3">
        <v>6.4</v>
      </c>
      <c r="G4" s="3">
        <f>((F4*D4)+(E4*C4))/1000</f>
        <v>3057.6</v>
      </c>
      <c r="H4" s="3">
        <f>G4*0.02</f>
        <v>61.152000000000001</v>
      </c>
      <c r="I4" s="3">
        <f>IFERROR(2*SUMIFS('Sunglasses BOM'!$E:$E,
                  'Sunglasses BOM'!$F:$F,"Clear ABS",
                  'Sunglasses BOM'!$W:$W,$A4),0)</f>
        <v>0</v>
      </c>
      <c r="J4" s="3">
        <f>IFERROR(SUMIFS('Sunglasses BOM'!$E:$E,
                  'Sunglasses BOM'!$F:$F,"Clear ABS",
                  'Sunglasses BOM'!$V:$V,$A4),0)</f>
        <v>0</v>
      </c>
      <c r="K4" s="3">
        <f>(J4*F4)+(I4*E4)</f>
        <v>0</v>
      </c>
      <c r="L4" s="3">
        <v>2.95</v>
      </c>
      <c r="M4" s="3">
        <v>7.4</v>
      </c>
      <c r="N4" s="3">
        <f>IFERROR(2*SUMIFS('Sunglasses BOM'!$E:$E,
                  'Sunglasses BOM'!$F:$F,"PP",
                  'Sunglasses BOM'!$W:$W,$A4),0)</f>
        <v>0</v>
      </c>
      <c r="O4" s="3">
        <f>IFERROR(SUMIFS('Sunglasses BOM'!$E:$E,
                  'Sunglasses BOM'!$F:$F,"PP",
                  'Sunglasses BOM'!$V:$V,$A4),0)</f>
        <v>0</v>
      </c>
      <c r="P4" s="3">
        <f t="shared" ref="P4:P7" si="0">((O4*M4)+(N4*L4))/1000</f>
        <v>0</v>
      </c>
      <c r="Q4" s="3">
        <f>P4*0.02</f>
        <v>0</v>
      </c>
      <c r="R4" s="3"/>
    </row>
    <row r="5" spans="1:18" x14ac:dyDescent="0.3">
      <c r="A5" s="3" t="s">
        <v>156</v>
      </c>
      <c r="B5" s="3" t="str">
        <f>_xlfn.XLOOKUP(A5,'Sunglasses BOM'!$W$7:$W$76,'Sunglasses BOM'!$K$7:$K$76)</f>
        <v>Navy</v>
      </c>
      <c r="C5" s="3">
        <f>IFERROR(2*SUMIFS('Sunglasses BOM'!$E:$E,
                  'Sunglasses BOM'!$F:$F,"ABS",
                  'Sunglasses BOM'!$W:$W,$A5),0)</f>
        <v>201600</v>
      </c>
      <c r="D5" s="3">
        <f>IFERROR(SUMIFS('Sunglasses BOM'!$E:$E,
                  'Sunglasses BOM'!$F:$F,"ABS",
                  'Sunglasses BOM'!$V:$V,$A5),0)</f>
        <v>100800</v>
      </c>
      <c r="E5" s="3">
        <v>3.8</v>
      </c>
      <c r="F5" s="3">
        <v>6.4</v>
      </c>
      <c r="G5" s="3">
        <f t="shared" ref="G5:G28" si="1">((F5*D5)+(E5*C5))/1000</f>
        <v>1411.2</v>
      </c>
      <c r="H5" s="3">
        <f t="shared" ref="H5:H28" si="2">G5*0.02</f>
        <v>28.224</v>
      </c>
      <c r="I5" s="3">
        <f>IFERROR(2*SUMIFS('Sunglasses BOM'!$E:$E,
                  'Sunglasses BOM'!$F:$F,"Clear ABS",
                  'Sunglasses BOM'!$W:$W,$A5),0)</f>
        <v>0</v>
      </c>
      <c r="J5" s="3">
        <f>IFERROR(SUMIFS('Sunglasses BOM'!$E:$E,
                  'Sunglasses BOM'!$F:$F,"Clear ABS",
                  'Sunglasses BOM'!$V:$V,$A5),0)</f>
        <v>0</v>
      </c>
      <c r="K5" s="3">
        <f t="shared" ref="K5:K28" si="3">(J5*F5)+(I5*E5)</f>
        <v>0</v>
      </c>
      <c r="L5" s="3">
        <v>2.95</v>
      </c>
      <c r="M5" s="3">
        <v>7.4</v>
      </c>
      <c r="N5" s="3">
        <f>IFERROR(2*SUMIFS('Sunglasses BOM'!$E:$E,
                  'Sunglasses BOM'!$F:$F,"PP",
                  'Sunglasses BOM'!$W:$W,$A5),0)</f>
        <v>0</v>
      </c>
      <c r="O5" s="3">
        <f>IFERROR(SUMIFS('Sunglasses BOM'!$E:$E,
                  'Sunglasses BOM'!$F:$F,"PP",
                  'Sunglasses BOM'!$V:$V,$A5),0)</f>
        <v>0</v>
      </c>
      <c r="P5" s="3">
        <f t="shared" si="0"/>
        <v>0</v>
      </c>
      <c r="Q5" s="3">
        <f t="shared" ref="Q5:Q28" si="4">P5*0.02</f>
        <v>0</v>
      </c>
      <c r="R5" s="3"/>
    </row>
    <row r="6" spans="1:18" x14ac:dyDescent="0.3">
      <c r="A6" s="3" t="s">
        <v>157</v>
      </c>
      <c r="B6" s="3" t="str">
        <f>_xlfn.XLOOKUP(A6,'Sunglasses BOM'!$W$7:$W$76,'Sunglasses BOM'!$K$7:$K$76)</f>
        <v>Red</v>
      </c>
      <c r="C6" s="3">
        <f>IFERROR(2*SUMIFS('Sunglasses BOM'!$E:$E,
                  'Sunglasses BOM'!$F:$F,"ABS",
                  'Sunglasses BOM'!$W:$W,$A6),0)</f>
        <v>302400</v>
      </c>
      <c r="D6" s="3">
        <f>IFERROR(SUMIFS('Sunglasses BOM'!$E:$E,
                  'Sunglasses BOM'!$F:$F,"ABS",
                  'Sunglasses BOM'!$V:$V,$A6),0)</f>
        <v>151200</v>
      </c>
      <c r="E6" s="3">
        <v>3.8</v>
      </c>
      <c r="F6" s="3">
        <v>6.4</v>
      </c>
      <c r="G6" s="3">
        <f t="shared" si="1"/>
        <v>2116.8000000000002</v>
      </c>
      <c r="H6" s="3">
        <f t="shared" si="2"/>
        <v>42.336000000000006</v>
      </c>
      <c r="I6" s="3">
        <f>IFERROR(2*SUMIFS('Sunglasses BOM'!$E:$E,
                  'Sunglasses BOM'!$F:$F,"Clear ABS",
                  'Sunglasses BOM'!$W:$W,$A6),0)</f>
        <v>0</v>
      </c>
      <c r="J6" s="3">
        <f>IFERROR(SUMIFS('Sunglasses BOM'!$E:$E,
                  'Sunglasses BOM'!$F:$F,"Clear ABS",
                  'Sunglasses BOM'!$V:$V,$A6),0)</f>
        <v>0</v>
      </c>
      <c r="K6" s="3">
        <f t="shared" si="3"/>
        <v>0</v>
      </c>
      <c r="L6" s="3">
        <v>2.95</v>
      </c>
      <c r="M6" s="3">
        <v>7.4</v>
      </c>
      <c r="N6" s="3">
        <f>IFERROR(2*SUMIFS('Sunglasses BOM'!$E:$E,
                  'Sunglasses BOM'!$F:$F,"PP",
                  'Sunglasses BOM'!$W:$W,$A6),0)</f>
        <v>0</v>
      </c>
      <c r="O6" s="3">
        <f>IFERROR(SUMIFS('Sunglasses BOM'!$E:$E,
                  'Sunglasses BOM'!$F:$F,"PP",
                  'Sunglasses BOM'!$V:$V,$A6),0)</f>
        <v>0</v>
      </c>
      <c r="P6" s="3">
        <f t="shared" si="0"/>
        <v>0</v>
      </c>
      <c r="Q6" s="3">
        <f t="shared" si="4"/>
        <v>0</v>
      </c>
      <c r="R6" s="3"/>
    </row>
    <row r="7" spans="1:18" x14ac:dyDescent="0.3">
      <c r="A7" s="3" t="s">
        <v>158</v>
      </c>
      <c r="B7" s="3" t="str">
        <f>_xlfn.XLOOKUP(A7,'Sunglasses BOM'!$W$7:$W$76,'Sunglasses BOM'!$K$7:$K$76)</f>
        <v>Royal</v>
      </c>
      <c r="C7" s="3">
        <f>IFERROR(2*SUMIFS('Sunglasses BOM'!$E:$E,
                  'Sunglasses BOM'!$F:$F,"ABS",
                  'Sunglasses BOM'!$W:$W,$A7),0)</f>
        <v>201600</v>
      </c>
      <c r="D7" s="3">
        <f>IFERROR(SUMIFS('Sunglasses BOM'!$E:$E,
                  'Sunglasses BOM'!$F:$F,"ABS",
                  'Sunglasses BOM'!$V:$V,$A7),0)</f>
        <v>100800</v>
      </c>
      <c r="E7" s="3">
        <v>3.8</v>
      </c>
      <c r="F7" s="3">
        <v>6.4</v>
      </c>
      <c r="G7" s="3">
        <f t="shared" si="1"/>
        <v>1411.2</v>
      </c>
      <c r="H7" s="3">
        <f t="shared" si="2"/>
        <v>28.224</v>
      </c>
      <c r="I7" s="3">
        <f>IFERROR(2*SUMIFS('Sunglasses BOM'!$E:$E,
                  'Sunglasses BOM'!$F:$F,"Clear ABS",
                  'Sunglasses BOM'!$W:$W,$A7),0)</f>
        <v>0</v>
      </c>
      <c r="J7" s="3">
        <f>IFERROR(SUMIFS('Sunglasses BOM'!$E:$E,
                  'Sunglasses BOM'!$F:$F,"Clear ABS",
                  'Sunglasses BOM'!$V:$V,$A7),0)</f>
        <v>0</v>
      </c>
      <c r="K7" s="3">
        <f t="shared" si="3"/>
        <v>0</v>
      </c>
      <c r="L7" s="3">
        <v>2.95</v>
      </c>
      <c r="M7" s="3">
        <v>7.4</v>
      </c>
      <c r="N7" s="3">
        <f>IFERROR(2*SUMIFS('Sunglasses BOM'!$E:$E,
                  'Sunglasses BOM'!$F:$F,"PP",
                  'Sunglasses BOM'!$W:$W,$A7),0)</f>
        <v>0</v>
      </c>
      <c r="O7" s="3">
        <f>IFERROR(SUMIFS('Sunglasses BOM'!$E:$E,
                  'Sunglasses BOM'!$F:$F,"PP",
                  'Sunglasses BOM'!$V:$V,$A7),0)</f>
        <v>0</v>
      </c>
      <c r="P7" s="3">
        <f t="shared" si="0"/>
        <v>0</v>
      </c>
      <c r="Q7" s="3">
        <f t="shared" si="4"/>
        <v>0</v>
      </c>
      <c r="R7" s="3"/>
    </row>
    <row r="8" spans="1:18" x14ac:dyDescent="0.3">
      <c r="A8" s="3" t="s">
        <v>159</v>
      </c>
      <c r="B8" s="3" t="str">
        <f>_xlfn.XLOOKUP(A8,'Sunglasses BOM'!$W$7:$W$76,'Sunglasses BOM'!$K$7:$K$76)</f>
        <v>White</v>
      </c>
      <c r="C8" s="3">
        <f>IFERROR(2*SUMIFS('Sunglasses BOM'!$E:$E,
                  'Sunglasses BOM'!$F:$F,"ABS",
                  'Sunglasses BOM'!$W:$W,$A8),0)</f>
        <v>268800</v>
      </c>
      <c r="D8" s="3">
        <f>IFERROR(SUMIFS('Sunglasses BOM'!$E:$E,
                  'Sunglasses BOM'!$F:$F,"ABS",
                  'Sunglasses BOM'!$V:$V,$A8),0)</f>
        <v>134400</v>
      </c>
      <c r="E8" s="3">
        <v>3.8</v>
      </c>
      <c r="F8" s="3">
        <v>6.4</v>
      </c>
      <c r="G8" s="3">
        <f t="shared" si="1"/>
        <v>1881.6</v>
      </c>
      <c r="H8" s="3">
        <f t="shared" si="2"/>
        <v>37.631999999999998</v>
      </c>
      <c r="I8" s="3">
        <f>IFERROR(2*SUMIFS('Sunglasses BOM'!$E:$E,
                  'Sunglasses BOM'!$F:$F,"Clear ABS",
                  'Sunglasses BOM'!$W:$W,$A8),0)</f>
        <v>0</v>
      </c>
      <c r="J8" s="3">
        <f>IFERROR(SUMIFS('Sunglasses BOM'!$E:$E,
                  'Sunglasses BOM'!$F:$F,"Clear ABS",
                  'Sunglasses BOM'!$V:$V,$A8),0)</f>
        <v>0</v>
      </c>
      <c r="K8" s="3">
        <f t="shared" si="3"/>
        <v>0</v>
      </c>
      <c r="L8" s="3">
        <v>2.95</v>
      </c>
      <c r="M8" s="3">
        <v>7.4</v>
      </c>
      <c r="N8" s="3">
        <f>IFERROR(2*SUMIFS('Sunglasses BOM'!$E:$E,
                  'Sunglasses BOM'!$F:$F,"PP",
                  'Sunglasses BOM'!$W:$W,$A8),0)</f>
        <v>403200</v>
      </c>
      <c r="O8" s="3">
        <f>IFERROR(SUMIFS('Sunglasses BOM'!$E:$E,
                  'Sunglasses BOM'!$F:$F,"PP",
                  'Sunglasses BOM'!$V:$V,$A8),0)</f>
        <v>252000</v>
      </c>
      <c r="P8" s="3">
        <f>((O8*M8)+(N8*L8))/1000</f>
        <v>3054.24</v>
      </c>
      <c r="Q8" s="3">
        <f t="shared" si="4"/>
        <v>61.084799999999994</v>
      </c>
      <c r="R8" s="3"/>
    </row>
    <row r="9" spans="1:18" x14ac:dyDescent="0.3">
      <c r="A9" s="3" t="s">
        <v>160</v>
      </c>
      <c r="B9" s="3" t="str">
        <f>_xlfn.XLOOKUP(A9,'Sunglasses BOM'!$W$7:$W$76,'Sunglasses BOM'!$K$7:$K$76)</f>
        <v>Blue</v>
      </c>
      <c r="C9" s="3">
        <f>IFERROR(2*SUMIFS('Sunglasses BOM'!$E:$E,
                  'Sunglasses BOM'!$F:$F,"ABS",
                  'Sunglasses BOM'!$W:$W,$A9),0)</f>
        <v>100800</v>
      </c>
      <c r="D9" s="3">
        <f>IFERROR(SUMIFS('Sunglasses BOM'!$E:$E,
                  'Sunglasses BOM'!$F:$F,"ABS",
                  'Sunglasses BOM'!$V:$V,$A9),0)</f>
        <v>50400</v>
      </c>
      <c r="E9" s="3">
        <v>3.8</v>
      </c>
      <c r="F9" s="3">
        <v>6.4</v>
      </c>
      <c r="G9" s="3">
        <f t="shared" si="1"/>
        <v>705.6</v>
      </c>
      <c r="H9" s="3">
        <f t="shared" si="2"/>
        <v>14.112</v>
      </c>
      <c r="I9" s="3">
        <f>IFERROR(2*SUMIFS('Sunglasses BOM'!$E:$E,
                  'Sunglasses BOM'!$F:$F,"Clear ABS",
                  'Sunglasses BOM'!$W:$W,$A9),0)</f>
        <v>0</v>
      </c>
      <c r="J9" s="3">
        <f>IFERROR(SUMIFS('Sunglasses BOM'!$E:$E,
                  'Sunglasses BOM'!$F:$F,"Clear ABS",
                  'Sunglasses BOM'!$V:$V,$A9),0)</f>
        <v>0</v>
      </c>
      <c r="K9" s="3">
        <f t="shared" si="3"/>
        <v>0</v>
      </c>
      <c r="L9" s="3">
        <v>2.95</v>
      </c>
      <c r="M9" s="3">
        <v>7.4</v>
      </c>
      <c r="N9" s="3">
        <f>IFERROR(2*SUMIFS('Sunglasses BOM'!$E:$E,
                  'Sunglasses BOM'!$F:$F,"PP",
                  'Sunglasses BOM'!$W:$W,$A9),0)</f>
        <v>0</v>
      </c>
      <c r="O9" s="3">
        <f>IFERROR(SUMIFS('Sunglasses BOM'!$E:$E,
                  'Sunglasses BOM'!$F:$F,"PP",
                  'Sunglasses BOM'!$V:$V,$A9),0)</f>
        <v>0</v>
      </c>
      <c r="P9" s="3">
        <f t="shared" ref="P9:P28" si="5">((O9*M9)+(N9*L9))/1000</f>
        <v>0</v>
      </c>
      <c r="Q9" s="3">
        <f t="shared" si="4"/>
        <v>0</v>
      </c>
      <c r="R9" s="3"/>
    </row>
    <row r="10" spans="1:18" x14ac:dyDescent="0.3">
      <c r="A10" s="3" t="s">
        <v>161</v>
      </c>
      <c r="B10" s="3" t="str">
        <f>_xlfn.XLOOKUP(A10,'Sunglasses BOM'!$W$7:$W$76,'Sunglasses BOM'!$K$7:$K$76)</f>
        <v>Lime</v>
      </c>
      <c r="C10" s="3">
        <f>IFERROR(2*SUMIFS('Sunglasses BOM'!$E:$E,
                  'Sunglasses BOM'!$F:$F,"ABS",
                  'Sunglasses BOM'!$W:$W,$A10),0)</f>
        <v>50400</v>
      </c>
      <c r="D10" s="3">
        <f>IFERROR(SUMIFS('Sunglasses BOM'!$E:$E,
                  'Sunglasses BOM'!$F:$F,"ABS",
                  'Sunglasses BOM'!$V:$V,$A10),0)</f>
        <v>25200</v>
      </c>
      <c r="E10" s="3">
        <v>3.8</v>
      </c>
      <c r="F10" s="3">
        <v>6.4</v>
      </c>
      <c r="G10" s="3">
        <f t="shared" si="1"/>
        <v>352.8</v>
      </c>
      <c r="H10" s="3">
        <f t="shared" si="2"/>
        <v>7.056</v>
      </c>
      <c r="I10" s="3">
        <f>IFERROR(2*SUMIFS('Sunglasses BOM'!$E:$E,
                  'Sunglasses BOM'!$F:$F,"Clear ABS",
                  'Sunglasses BOM'!$W:$W,$A10),0)</f>
        <v>0</v>
      </c>
      <c r="J10" s="3">
        <f>IFERROR(SUMIFS('Sunglasses BOM'!$E:$E,
                  'Sunglasses BOM'!$F:$F,"Clear ABS",
                  'Sunglasses BOM'!$V:$V,$A10),0)</f>
        <v>0</v>
      </c>
      <c r="K10" s="3">
        <f t="shared" si="3"/>
        <v>0</v>
      </c>
      <c r="L10" s="3">
        <v>2.95</v>
      </c>
      <c r="M10" s="3">
        <v>7.4</v>
      </c>
      <c r="N10" s="3">
        <f>IFERROR(2*SUMIFS('Sunglasses BOM'!$E:$E,
                  'Sunglasses BOM'!$F:$F,"PP",
                  'Sunglasses BOM'!$W:$W,$A10),0)</f>
        <v>0</v>
      </c>
      <c r="O10" s="3">
        <f>IFERROR(SUMIFS('Sunglasses BOM'!$E:$E,
                  'Sunglasses BOM'!$F:$F,"PP",
                  'Sunglasses BOM'!$V:$V,$A10),0)</f>
        <v>0</v>
      </c>
      <c r="P10" s="3">
        <f t="shared" si="5"/>
        <v>0</v>
      </c>
      <c r="Q10" s="3">
        <f t="shared" si="4"/>
        <v>0</v>
      </c>
      <c r="R10" s="3"/>
    </row>
    <row r="11" spans="1:18" x14ac:dyDescent="0.3">
      <c r="A11" s="3" t="s">
        <v>162</v>
      </c>
      <c r="B11" s="3" t="str">
        <f>_xlfn.XLOOKUP(A11,'Sunglasses BOM'!$W$7:$W$76,'Sunglasses BOM'!$K$7:$K$76)</f>
        <v>Orange</v>
      </c>
      <c r="C11" s="3">
        <f>IFERROR(2*SUMIFS('Sunglasses BOM'!$E:$E,
                  'Sunglasses BOM'!$F:$F,"ABS",
                  'Sunglasses BOM'!$W:$W,$A11),0)</f>
        <v>50400</v>
      </c>
      <c r="D11" s="3">
        <f>IFERROR(SUMIFS('Sunglasses BOM'!$E:$E,
                  'Sunglasses BOM'!$F:$F,"ABS",
                  'Sunglasses BOM'!$V:$V,$A11),0)</f>
        <v>25200</v>
      </c>
      <c r="E11" s="3">
        <v>3.8</v>
      </c>
      <c r="F11" s="3">
        <v>6.4</v>
      </c>
      <c r="G11" s="3">
        <f t="shared" si="1"/>
        <v>352.8</v>
      </c>
      <c r="H11" s="3">
        <f t="shared" si="2"/>
        <v>7.056</v>
      </c>
      <c r="I11" s="3">
        <f>IFERROR(2*SUMIFS('Sunglasses BOM'!$E:$E,
                  'Sunglasses BOM'!$F:$F,"Clear ABS",
                  'Sunglasses BOM'!$W:$W,$A11),0)</f>
        <v>0</v>
      </c>
      <c r="J11" s="3">
        <f>IFERROR(SUMIFS('Sunglasses BOM'!$E:$E,
                  'Sunglasses BOM'!$F:$F,"Clear ABS",
                  'Sunglasses BOM'!$V:$V,$A11),0)</f>
        <v>0</v>
      </c>
      <c r="K11" s="3">
        <f t="shared" si="3"/>
        <v>0</v>
      </c>
      <c r="L11" s="3">
        <v>2.95</v>
      </c>
      <c r="M11" s="3">
        <v>7.4</v>
      </c>
      <c r="N11" s="3">
        <f>IFERROR(2*SUMIFS('Sunglasses BOM'!$E:$E,
                  'Sunglasses BOM'!$F:$F,"PP",
                  'Sunglasses BOM'!$W:$W,$A11),0)</f>
        <v>0</v>
      </c>
      <c r="O11" s="3">
        <f>IFERROR(SUMIFS('Sunglasses BOM'!$E:$E,
                  'Sunglasses BOM'!$F:$F,"PP",
                  'Sunglasses BOM'!$V:$V,$A11),0)</f>
        <v>0</v>
      </c>
      <c r="P11" s="3">
        <f t="shared" si="5"/>
        <v>0</v>
      </c>
      <c r="Q11" s="3">
        <f t="shared" si="4"/>
        <v>0</v>
      </c>
      <c r="R11" s="3"/>
    </row>
    <row r="12" spans="1:18" x14ac:dyDescent="0.3">
      <c r="A12" s="3" t="s">
        <v>163</v>
      </c>
      <c r="B12" s="3" t="str">
        <f>_xlfn.XLOOKUP(A12,'Sunglasses BOM'!$W$7:$W$76,'Sunglasses BOM'!$K$7:$K$76)</f>
        <v>Red</v>
      </c>
      <c r="C12" s="3">
        <f>IFERROR(2*SUMIFS('Sunglasses BOM'!$E:$E,
                  'Sunglasses BOM'!$F:$F,"ABS",
                  'Sunglasses BOM'!$W:$W,$A12),0)</f>
        <v>67200</v>
      </c>
      <c r="D12" s="3">
        <f>IFERROR(SUMIFS('Sunglasses BOM'!$E:$E,
                  'Sunglasses BOM'!$F:$F,"ABS",
                  'Sunglasses BOM'!$V:$V,$A12),0)</f>
        <v>33600</v>
      </c>
      <c r="E12" s="3">
        <v>3.8</v>
      </c>
      <c r="F12" s="3">
        <v>6.4</v>
      </c>
      <c r="G12" s="3">
        <f t="shared" si="1"/>
        <v>470.4</v>
      </c>
      <c r="H12" s="3">
        <f t="shared" si="2"/>
        <v>9.4079999999999995</v>
      </c>
      <c r="I12" s="3">
        <f>IFERROR(2*SUMIFS('Sunglasses BOM'!$E:$E,
                  'Sunglasses BOM'!$F:$F,"Clear ABS",
                  'Sunglasses BOM'!$W:$W,$A12),0)</f>
        <v>0</v>
      </c>
      <c r="J12" s="3">
        <f>IFERROR(SUMIFS('Sunglasses BOM'!$E:$E,
                  'Sunglasses BOM'!$F:$F,"Clear ABS",
                  'Sunglasses BOM'!$V:$V,$A12),0)</f>
        <v>0</v>
      </c>
      <c r="K12" s="3">
        <f t="shared" si="3"/>
        <v>0</v>
      </c>
      <c r="L12" s="3">
        <v>2.95</v>
      </c>
      <c r="M12" s="3">
        <v>7.4</v>
      </c>
      <c r="N12" s="3">
        <f>IFERROR(2*SUMIFS('Sunglasses BOM'!$E:$E,
                  'Sunglasses BOM'!$F:$F,"PP",
                  'Sunglasses BOM'!$W:$W,$A12),0)</f>
        <v>0</v>
      </c>
      <c r="O12" s="3">
        <f>IFERROR(SUMIFS('Sunglasses BOM'!$E:$E,
                  'Sunglasses BOM'!$F:$F,"PP",
                  'Sunglasses BOM'!$V:$V,$A12),0)</f>
        <v>0</v>
      </c>
      <c r="P12" s="3">
        <f t="shared" si="5"/>
        <v>0</v>
      </c>
      <c r="Q12" s="3">
        <f t="shared" si="4"/>
        <v>0</v>
      </c>
      <c r="R12" s="3"/>
    </row>
    <row r="13" spans="1:18" x14ac:dyDescent="0.3">
      <c r="A13" s="3" t="s">
        <v>164</v>
      </c>
      <c r="B13" s="3" t="str">
        <f>_xlfn.XLOOKUP(A13,'Sunglasses BOM'!$W$7:$W$76,'Sunglasses BOM'!$K$7:$K$76)</f>
        <v>Yellow</v>
      </c>
      <c r="C13" s="3">
        <f>IFERROR(2*SUMIFS('Sunglasses BOM'!$E:$E,
                  'Sunglasses BOM'!$F:$F,"ABS",
                  'Sunglasses BOM'!$W:$W,$A13),0)</f>
        <v>16800</v>
      </c>
      <c r="D13" s="3">
        <f>IFERROR(SUMIFS('Sunglasses BOM'!$E:$E,
                  'Sunglasses BOM'!$F:$F,"ABS",
                  'Sunglasses BOM'!$V:$V,$A13),0)</f>
        <v>8400</v>
      </c>
      <c r="E13" s="3">
        <v>3.8</v>
      </c>
      <c r="F13" s="3">
        <v>6.4</v>
      </c>
      <c r="G13" s="3">
        <f t="shared" si="1"/>
        <v>117.6</v>
      </c>
      <c r="H13" s="3">
        <f t="shared" si="2"/>
        <v>2.3519999999999999</v>
      </c>
      <c r="I13" s="3">
        <f>IFERROR(2*SUMIFS('Sunglasses BOM'!$E:$E,
                  'Sunglasses BOM'!$F:$F,"Clear ABS",
                  'Sunglasses BOM'!$W:$W,$A13),0)</f>
        <v>0</v>
      </c>
      <c r="J13" s="3">
        <f>IFERROR(SUMIFS('Sunglasses BOM'!$E:$E,
                  'Sunglasses BOM'!$F:$F,"Clear ABS",
                  'Sunglasses BOM'!$V:$V,$A13),0)</f>
        <v>0</v>
      </c>
      <c r="K13" s="3">
        <f t="shared" si="3"/>
        <v>0</v>
      </c>
      <c r="L13" s="3">
        <v>2.95</v>
      </c>
      <c r="M13" s="3">
        <v>7.4</v>
      </c>
      <c r="N13" s="3">
        <f>IFERROR(2*SUMIFS('Sunglasses BOM'!$E:$E,
                  'Sunglasses BOM'!$F:$F,"PP",
                  'Sunglasses BOM'!$W:$W,$A13),0)</f>
        <v>0</v>
      </c>
      <c r="O13" s="3">
        <f>IFERROR(SUMIFS('Sunglasses BOM'!$E:$E,
                  'Sunglasses BOM'!$F:$F,"PP",
                  'Sunglasses BOM'!$V:$V,$A13),0)</f>
        <v>0</v>
      </c>
      <c r="P13" s="3">
        <f t="shared" si="5"/>
        <v>0</v>
      </c>
      <c r="Q13" s="3">
        <f t="shared" si="4"/>
        <v>0</v>
      </c>
      <c r="R13" s="3"/>
    </row>
    <row r="14" spans="1:18" x14ac:dyDescent="0.3">
      <c r="A14" s="3" t="s">
        <v>125</v>
      </c>
      <c r="B14" s="3" t="str">
        <f>_xlfn.XLOOKUP(A14,'Sunglasses BOM'!$W$7:$W$76,'Sunglasses BOM'!$K$7:$K$76)</f>
        <v>Clear</v>
      </c>
      <c r="C14" s="3">
        <f>IFERROR(2*SUMIFS('Sunglasses BOM'!$E:$E,
                  'Sunglasses BOM'!$F:$F,"ABS",
                  'Sunglasses BOM'!$W:$W,$A14),0)</f>
        <v>0</v>
      </c>
      <c r="D14" s="3">
        <f>IFERROR(SUMIFS('Sunglasses BOM'!$E:$E,
                  'Sunglasses BOM'!$F:$F,"ABS",
                  'Sunglasses BOM'!$V:$V,$A14),0)</f>
        <v>0</v>
      </c>
      <c r="E14" s="3">
        <v>3.8</v>
      </c>
      <c r="F14" s="3">
        <v>6.4</v>
      </c>
      <c r="G14" s="3">
        <f t="shared" si="1"/>
        <v>0</v>
      </c>
      <c r="H14" s="3">
        <f t="shared" si="2"/>
        <v>0</v>
      </c>
      <c r="I14" s="3">
        <f>IFERROR(2*SUMIFS('Sunglasses BOM'!$E:$E,
                  'Sunglasses BOM'!$F:$F,"Clear ABS",
                  'Sunglasses BOM'!$W:$W,$A14),0)</f>
        <v>235200</v>
      </c>
      <c r="J14" s="3">
        <f>IFERROR(SUMIFS('Sunglasses BOM'!$E:$E,
                  'Sunglasses BOM'!$F:$F,"Clear ABS",
                  'Sunglasses BOM'!$V:$V,$A14),0)</f>
        <v>117600</v>
      </c>
      <c r="K14" s="3">
        <f>((J14*F14)+(I14*E14))/1000</f>
        <v>1646.4</v>
      </c>
      <c r="L14" s="3">
        <v>2.95</v>
      </c>
      <c r="M14" s="3">
        <v>7.4</v>
      </c>
      <c r="N14" s="3">
        <f>IFERROR(2*SUMIFS('Sunglasses BOM'!$E:$E,
                  'Sunglasses BOM'!$F:$F,"PP",
                  'Sunglasses BOM'!$W:$W,$A14),0)</f>
        <v>0</v>
      </c>
      <c r="O14" s="3">
        <f>IFERROR(SUMIFS('Sunglasses BOM'!$E:$E,
                  'Sunglasses BOM'!$F:$F,"PP",
                  'Sunglasses BOM'!$V:$V,$A14),0)</f>
        <v>0</v>
      </c>
      <c r="P14" s="3">
        <f t="shared" si="5"/>
        <v>0</v>
      </c>
      <c r="Q14" s="3">
        <f t="shared" si="4"/>
        <v>0</v>
      </c>
      <c r="R14" s="3"/>
    </row>
    <row r="15" spans="1:18" x14ac:dyDescent="0.3">
      <c r="A15" s="3" t="s">
        <v>165</v>
      </c>
      <c r="B15" s="3" t="str">
        <f>_xlfn.XLOOKUP(A15,'Sunglasses BOM'!$W$7:$W$76,'Sunglasses BOM'!$K$7:$K$76)</f>
        <v>Bright Yellow</v>
      </c>
      <c r="C15" s="3">
        <f>IFERROR(2*SUMIFS('Sunglasses BOM'!$E:$E,
                  'Sunglasses BOM'!$F:$F,"ABS",
                  'Sunglasses BOM'!$W:$W,$A15),0)</f>
        <v>33600</v>
      </c>
      <c r="D15" s="3">
        <f>IFERROR(SUMIFS('Sunglasses BOM'!$E:$E,
                  'Sunglasses BOM'!$F:$F,"ABS",
                  'Sunglasses BOM'!$V:$V,$A15),0)</f>
        <v>16800</v>
      </c>
      <c r="E15" s="3">
        <v>3.8</v>
      </c>
      <c r="F15" s="3">
        <v>6.4</v>
      </c>
      <c r="G15" s="3">
        <f t="shared" si="1"/>
        <v>235.2</v>
      </c>
      <c r="H15" s="3">
        <f t="shared" si="2"/>
        <v>4.7039999999999997</v>
      </c>
      <c r="I15" s="3">
        <f>IFERROR(2*SUMIFS('Sunglasses BOM'!$E:$E,
                  'Sunglasses BOM'!$F:$F,"Clear ABS",
                  'Sunglasses BOM'!$W:$W,$A15),0)</f>
        <v>0</v>
      </c>
      <c r="J15" s="3">
        <f>IFERROR(SUMIFS('Sunglasses BOM'!$E:$E,
                  'Sunglasses BOM'!$F:$F,"Clear ABS",
                  'Sunglasses BOM'!$V:$V,$A15),0)</f>
        <v>0</v>
      </c>
      <c r="K15" s="3">
        <f t="shared" si="3"/>
        <v>0</v>
      </c>
      <c r="L15" s="3">
        <v>2.95</v>
      </c>
      <c r="M15" s="3">
        <v>7.4</v>
      </c>
      <c r="N15" s="3">
        <f>IFERROR(2*SUMIFS('Sunglasses BOM'!$E:$E,
                  'Sunglasses BOM'!$F:$F,"PP",
                  'Sunglasses BOM'!$W:$W,$A15),0)</f>
        <v>0</v>
      </c>
      <c r="O15" s="3">
        <f>IFERROR(SUMIFS('Sunglasses BOM'!$E:$E,
                  'Sunglasses BOM'!$F:$F,"PP",
                  'Sunglasses BOM'!$V:$V,$A15),0)</f>
        <v>0</v>
      </c>
      <c r="P15" s="3">
        <f t="shared" si="5"/>
        <v>0</v>
      </c>
      <c r="Q15" s="3">
        <f t="shared" si="4"/>
        <v>0</v>
      </c>
      <c r="R15" s="3"/>
    </row>
    <row r="16" spans="1:18" x14ac:dyDescent="0.3">
      <c r="A16" s="3" t="s">
        <v>166</v>
      </c>
      <c r="B16" s="3" t="str">
        <f>_xlfn.XLOOKUP(A16,'Sunglasses BOM'!$W$7:$W$76,'Sunglasses BOM'!$K$7:$K$76)</f>
        <v>Light Blue</v>
      </c>
      <c r="C16" s="3">
        <f>IFERROR(2*SUMIFS('Sunglasses BOM'!$E:$E,
                  'Sunglasses BOM'!$F:$F,"ABS",
                  'Sunglasses BOM'!$W:$W,$A16),0)</f>
        <v>50400</v>
      </c>
      <c r="D16" s="3">
        <f>IFERROR(SUMIFS('Sunglasses BOM'!$E:$E,
                  'Sunglasses BOM'!$F:$F,"ABS",
                  'Sunglasses BOM'!$V:$V,$A16),0)</f>
        <v>25200</v>
      </c>
      <c r="E16" s="3">
        <v>3.8</v>
      </c>
      <c r="F16" s="3">
        <v>6.4</v>
      </c>
      <c r="G16" s="3">
        <f t="shared" si="1"/>
        <v>352.8</v>
      </c>
      <c r="H16" s="3">
        <f t="shared" si="2"/>
        <v>7.056</v>
      </c>
      <c r="I16" s="3">
        <f>IFERROR(2*SUMIFS('Sunglasses BOM'!$E:$E,
                  'Sunglasses BOM'!$F:$F,"Clear ABS",
                  'Sunglasses BOM'!$W:$W,$A16),0)</f>
        <v>0</v>
      </c>
      <c r="J16" s="3">
        <f>IFERROR(SUMIFS('Sunglasses BOM'!$E:$E,
                  'Sunglasses BOM'!$F:$F,"Clear ABS",
                  'Sunglasses BOM'!$V:$V,$A16),0)</f>
        <v>0</v>
      </c>
      <c r="K16" s="3">
        <f t="shared" si="3"/>
        <v>0</v>
      </c>
      <c r="L16" s="3">
        <v>2.95</v>
      </c>
      <c r="M16" s="3">
        <v>7.4</v>
      </c>
      <c r="N16" s="3">
        <f>IFERROR(2*SUMIFS('Sunglasses BOM'!$E:$E,
                  'Sunglasses BOM'!$F:$F,"PP",
                  'Sunglasses BOM'!$W:$W,$A16),0)</f>
        <v>0</v>
      </c>
      <c r="O16" s="3">
        <f>IFERROR(SUMIFS('Sunglasses BOM'!$E:$E,
                  'Sunglasses BOM'!$F:$F,"PP",
                  'Sunglasses BOM'!$V:$V,$A16),0)</f>
        <v>0</v>
      </c>
      <c r="P16" s="3">
        <f t="shared" si="5"/>
        <v>0</v>
      </c>
      <c r="Q16" s="3">
        <f t="shared" si="4"/>
        <v>0</v>
      </c>
      <c r="R16" s="3"/>
    </row>
    <row r="17" spans="1:18" x14ac:dyDescent="0.3">
      <c r="A17" s="3" t="s">
        <v>167</v>
      </c>
      <c r="B17" s="3" t="str">
        <f>_xlfn.XLOOKUP(A17,'Sunglasses BOM'!$W$7:$W$76,'Sunglasses BOM'!$K$7:$K$76)</f>
        <v>Gray</v>
      </c>
      <c r="C17" s="3">
        <f>IFERROR(2*SUMIFS('Sunglasses BOM'!$E:$E,
                  'Sunglasses BOM'!$F:$F,"ABS",
                  'Sunglasses BOM'!$W:$W,$A17),0)</f>
        <v>33600</v>
      </c>
      <c r="D17" s="3">
        <f>IFERROR(SUMIFS('Sunglasses BOM'!$E:$E,
                  'Sunglasses BOM'!$F:$F,"ABS",
                  'Sunglasses BOM'!$V:$V,$A17),0)</f>
        <v>16800</v>
      </c>
      <c r="E17" s="3">
        <v>3.8</v>
      </c>
      <c r="F17" s="3">
        <v>6.4</v>
      </c>
      <c r="G17" s="3">
        <f t="shared" si="1"/>
        <v>235.2</v>
      </c>
      <c r="H17" s="3">
        <f t="shared" si="2"/>
        <v>4.7039999999999997</v>
      </c>
      <c r="I17" s="3">
        <f>IFERROR(2*SUMIFS('Sunglasses BOM'!$E:$E,
                  'Sunglasses BOM'!$F:$F,"Clear ABS",
                  'Sunglasses BOM'!$W:$W,$A17),0)</f>
        <v>0</v>
      </c>
      <c r="J17" s="3">
        <f>IFERROR(SUMIFS('Sunglasses BOM'!$E:$E,
                  'Sunglasses BOM'!$F:$F,"Clear ABS",
                  'Sunglasses BOM'!$V:$V,$A17),0)</f>
        <v>0</v>
      </c>
      <c r="K17" s="3">
        <f t="shared" si="3"/>
        <v>0</v>
      </c>
      <c r="L17" s="3">
        <v>2.95</v>
      </c>
      <c r="M17" s="3">
        <v>7.4</v>
      </c>
      <c r="N17" s="3">
        <f>IFERROR(2*SUMIFS('Sunglasses BOM'!$E:$E,
                  'Sunglasses BOM'!$F:$F,"PP",
                  'Sunglasses BOM'!$W:$W,$A17),0)</f>
        <v>0</v>
      </c>
      <c r="O17" s="3">
        <f>IFERROR(SUMIFS('Sunglasses BOM'!$E:$E,
                  'Sunglasses BOM'!$F:$F,"PP",
                  'Sunglasses BOM'!$V:$V,$A17),0)</f>
        <v>0</v>
      </c>
      <c r="P17" s="3">
        <f t="shared" si="5"/>
        <v>0</v>
      </c>
      <c r="Q17" s="3">
        <f t="shared" si="4"/>
        <v>0</v>
      </c>
      <c r="R17" s="3"/>
    </row>
    <row r="18" spans="1:18" x14ac:dyDescent="0.3">
      <c r="A18" s="3" t="s">
        <v>168</v>
      </c>
      <c r="B18" s="3" t="str">
        <f>_xlfn.XLOOKUP(A18,'Sunglasses BOM'!$W$7:$W$76,'Sunglasses BOM'!$K$7:$K$76)</f>
        <v>Kelly Green</v>
      </c>
      <c r="C18" s="3">
        <f>IFERROR(2*SUMIFS('Sunglasses BOM'!$E:$E,
                  'Sunglasses BOM'!$F:$F,"ABS",
                  'Sunglasses BOM'!$W:$W,$A18),0)</f>
        <v>33600</v>
      </c>
      <c r="D18" s="3">
        <f>IFERROR(SUMIFS('Sunglasses BOM'!$E:$E,
                  'Sunglasses BOM'!$F:$F,"ABS",
                  'Sunglasses BOM'!$V:$V,$A18),0)</f>
        <v>16800</v>
      </c>
      <c r="E18" s="3">
        <v>3.8</v>
      </c>
      <c r="F18" s="3">
        <v>6.4</v>
      </c>
      <c r="G18" s="3">
        <f t="shared" si="1"/>
        <v>235.2</v>
      </c>
      <c r="H18" s="3">
        <f t="shared" si="2"/>
        <v>4.7039999999999997</v>
      </c>
      <c r="I18" s="3">
        <f>IFERROR(2*SUMIFS('Sunglasses BOM'!$E:$E,
                  'Sunglasses BOM'!$F:$F,"Clear ABS",
                  'Sunglasses BOM'!$W:$W,$A18),0)</f>
        <v>0</v>
      </c>
      <c r="J18" s="3">
        <f>IFERROR(SUMIFS('Sunglasses BOM'!$E:$E,
                  'Sunglasses BOM'!$F:$F,"Clear ABS",
                  'Sunglasses BOM'!$V:$V,$A18),0)</f>
        <v>0</v>
      </c>
      <c r="K18" s="3">
        <f t="shared" si="3"/>
        <v>0</v>
      </c>
      <c r="L18" s="3">
        <v>2.95</v>
      </c>
      <c r="M18" s="3">
        <v>7.4</v>
      </c>
      <c r="N18" s="3">
        <f>IFERROR(2*SUMIFS('Sunglasses BOM'!$E:$E,
                  'Sunglasses BOM'!$F:$F,"PP",
                  'Sunglasses BOM'!$W:$W,$A18),0)</f>
        <v>0</v>
      </c>
      <c r="O18" s="3">
        <f>IFERROR(SUMIFS('Sunglasses BOM'!$E:$E,
                  'Sunglasses BOM'!$F:$F,"PP",
                  'Sunglasses BOM'!$V:$V,$A18),0)</f>
        <v>0</v>
      </c>
      <c r="P18" s="3">
        <f t="shared" si="5"/>
        <v>0</v>
      </c>
      <c r="Q18" s="3">
        <f t="shared" si="4"/>
        <v>0</v>
      </c>
      <c r="R18" s="3"/>
    </row>
    <row r="19" spans="1:18" x14ac:dyDescent="0.3">
      <c r="A19" s="3" t="s">
        <v>169</v>
      </c>
      <c r="B19" s="3" t="str">
        <f>_xlfn.XLOOKUP(A19,'Sunglasses BOM'!$W$7:$W$76,'Sunglasses BOM'!$K$7:$K$76)</f>
        <v>Purple</v>
      </c>
      <c r="C19" s="3">
        <f>IFERROR(2*SUMIFS('Sunglasses BOM'!$E:$E,
                  'Sunglasses BOM'!$F:$F,"ABS",
                  'Sunglasses BOM'!$W:$W,$A19),0)</f>
        <v>33600</v>
      </c>
      <c r="D19" s="3">
        <f>IFERROR(SUMIFS('Sunglasses BOM'!$E:$E,
                  'Sunglasses BOM'!$F:$F,"ABS",
                  'Sunglasses BOM'!$V:$V,$A19),0)</f>
        <v>16800</v>
      </c>
      <c r="E19" s="3">
        <v>3.8</v>
      </c>
      <c r="F19" s="3">
        <v>6.4</v>
      </c>
      <c r="G19" s="3">
        <f t="shared" si="1"/>
        <v>235.2</v>
      </c>
      <c r="H19" s="3">
        <f t="shared" si="2"/>
        <v>4.7039999999999997</v>
      </c>
      <c r="I19" s="3">
        <f>IFERROR(2*SUMIFS('Sunglasses BOM'!$E:$E,
                  'Sunglasses BOM'!$F:$F,"Clear ABS",
                  'Sunglasses BOM'!$W:$W,$A19),0)</f>
        <v>0</v>
      </c>
      <c r="J19" s="3">
        <f>IFERROR(SUMIFS('Sunglasses BOM'!$E:$E,
                  'Sunglasses BOM'!$F:$F,"Clear ABS",
                  'Sunglasses BOM'!$V:$V,$A19),0)</f>
        <v>0</v>
      </c>
      <c r="K19" s="3">
        <f t="shared" si="3"/>
        <v>0</v>
      </c>
      <c r="L19" s="3">
        <v>2.95</v>
      </c>
      <c r="M19" s="3">
        <v>7.4</v>
      </c>
      <c r="N19" s="3">
        <f>IFERROR(2*SUMIFS('Sunglasses BOM'!$E:$E,
                  'Sunglasses BOM'!$F:$F,"PP",
                  'Sunglasses BOM'!$W:$W,$A19),0)</f>
        <v>0</v>
      </c>
      <c r="O19" s="3">
        <f>IFERROR(SUMIFS('Sunglasses BOM'!$E:$E,
                  'Sunglasses BOM'!$F:$F,"PP",
                  'Sunglasses BOM'!$V:$V,$A19),0)</f>
        <v>0</v>
      </c>
      <c r="P19" s="3">
        <f t="shared" si="5"/>
        <v>0</v>
      </c>
      <c r="Q19" s="3">
        <f t="shared" si="4"/>
        <v>0</v>
      </c>
      <c r="R19" s="3"/>
    </row>
    <row r="20" spans="1:18" x14ac:dyDescent="0.3">
      <c r="A20" s="3" t="s">
        <v>170</v>
      </c>
      <c r="B20" s="3" t="str">
        <f>_xlfn.XLOOKUP(A20,'Sunglasses BOM'!$W$7:$W$76,'Sunglasses BOM'!$K$7:$K$76)</f>
        <v>Black</v>
      </c>
      <c r="C20" s="3">
        <f>IFERROR(2*SUMIFS('Sunglasses BOM'!$E:$E,
                  'Sunglasses BOM'!$F:$F,"ABS",
                  'Sunglasses BOM'!$W:$W,$A20),0)</f>
        <v>0</v>
      </c>
      <c r="D20" s="3">
        <f>IFERROR(SUMIFS('Sunglasses BOM'!$E:$E,
                  'Sunglasses BOM'!$F:$F,"ABS",
                  'Sunglasses BOM'!$V:$V,$A20),0)</f>
        <v>0</v>
      </c>
      <c r="E20" s="3">
        <v>0</v>
      </c>
      <c r="F20" s="3">
        <v>0</v>
      </c>
      <c r="G20" s="3">
        <f t="shared" si="1"/>
        <v>0</v>
      </c>
      <c r="H20" s="3">
        <f t="shared" si="2"/>
        <v>0</v>
      </c>
      <c r="I20" s="3">
        <f>IFERROR(2*SUMIFS('Sunglasses BOM'!$E:$E,
                  'Sunglasses BOM'!$F:$F,"Clear ABS",
                  'Sunglasses BOM'!$W:$W,$A20),0)</f>
        <v>0</v>
      </c>
      <c r="J20" s="3">
        <f>IFERROR(SUMIFS('Sunglasses BOM'!$E:$E,
                  'Sunglasses BOM'!$F:$F,"Clear ABS",
                  'Sunglasses BOM'!$V:$V,$A20),0)</f>
        <v>0</v>
      </c>
      <c r="K20" s="3">
        <f t="shared" si="3"/>
        <v>0</v>
      </c>
      <c r="L20" s="3">
        <v>2.95</v>
      </c>
      <c r="M20" s="3">
        <v>7.4</v>
      </c>
      <c r="N20" s="3">
        <f>IFERROR(2*SUMIFS('Sunglasses BOM'!$E:$E,
                  'Sunglasses BOM'!$F:$F,"PP",
                  'Sunglasses BOM'!$W:$W,$A20),0)</f>
        <v>268800</v>
      </c>
      <c r="O20" s="3">
        <f>IFERROR(SUMIFS('Sunglasses BOM'!$E:$E,
                  'Sunglasses BOM'!$F:$F,"PP",
                  'Sunglasses BOM'!$V:$V,$A20),0)</f>
        <v>159600</v>
      </c>
      <c r="P20" s="3">
        <f t="shared" si="5"/>
        <v>1974</v>
      </c>
      <c r="Q20" s="3">
        <f t="shared" si="4"/>
        <v>39.480000000000004</v>
      </c>
      <c r="R20" s="3"/>
    </row>
    <row r="21" spans="1:18" x14ac:dyDescent="0.3">
      <c r="A21" s="3" t="s">
        <v>171</v>
      </c>
      <c r="B21" s="3" t="str">
        <f>_xlfn.XLOOKUP(A21,'Sunglasses BOM'!$W$7:$W$76,'Sunglasses BOM'!$K$7:$K$76)</f>
        <v>Blue</v>
      </c>
      <c r="C21" s="3">
        <f>IFERROR(2*SUMIFS('Sunglasses BOM'!$E:$E,
                  'Sunglasses BOM'!$F:$F,"ABS",
                  'Sunglasses BOM'!$W:$W,$A21),0)</f>
        <v>0</v>
      </c>
      <c r="D21" s="3">
        <f>IFERROR(SUMIFS('Sunglasses BOM'!$E:$E,
                  'Sunglasses BOM'!$F:$F,"ABS",
                  'Sunglasses BOM'!$V:$V,$A21),0)</f>
        <v>0</v>
      </c>
      <c r="E21" s="3">
        <v>0</v>
      </c>
      <c r="F21" s="3">
        <v>0</v>
      </c>
      <c r="G21" s="3">
        <f t="shared" si="1"/>
        <v>0</v>
      </c>
      <c r="H21" s="3">
        <f t="shared" si="2"/>
        <v>0</v>
      </c>
      <c r="I21" s="3">
        <f>IFERROR(2*SUMIFS('Sunglasses BOM'!$E:$E,
                  'Sunglasses BOM'!$F:$F,"Clear ABS",
                  'Sunglasses BOM'!$W:$W,$A21),0)</f>
        <v>0</v>
      </c>
      <c r="J21" s="3">
        <f>IFERROR(SUMIFS('Sunglasses BOM'!$E:$E,
                  'Sunglasses BOM'!$F:$F,"Clear ABS",
                  'Sunglasses BOM'!$V:$V,$A21),0)</f>
        <v>0</v>
      </c>
      <c r="K21" s="3">
        <f t="shared" si="3"/>
        <v>0</v>
      </c>
      <c r="L21" s="3">
        <v>2.95</v>
      </c>
      <c r="M21" s="3">
        <v>7.4</v>
      </c>
      <c r="N21" s="3">
        <f>IFERROR(2*SUMIFS('Sunglasses BOM'!$E:$E,
                  'Sunglasses BOM'!$F:$F,"PP",
                  'Sunglasses BOM'!$W:$W,$A21),0)</f>
        <v>336000</v>
      </c>
      <c r="O21" s="3">
        <f>IFERROR(SUMIFS('Sunglasses BOM'!$E:$E,
                  'Sunglasses BOM'!$F:$F,"PP",
                  'Sunglasses BOM'!$V:$V,$A21),0)</f>
        <v>109200</v>
      </c>
      <c r="P21" s="3">
        <f t="shared" si="5"/>
        <v>1799.28</v>
      </c>
      <c r="Q21" s="3">
        <f t="shared" si="4"/>
        <v>35.985599999999998</v>
      </c>
      <c r="R21" s="3"/>
    </row>
    <row r="22" spans="1:18" x14ac:dyDescent="0.3">
      <c r="A22" s="3" t="s">
        <v>172</v>
      </c>
      <c r="B22" s="3" t="str">
        <f>_xlfn.XLOOKUP(A22,'Sunglasses BOM'!$W$7:$W$76,'Sunglasses BOM'!$K$7:$K$76)</f>
        <v>Green</v>
      </c>
      <c r="C22" s="3">
        <f>IFERROR(2*SUMIFS('Sunglasses BOM'!$E:$E,
                  'Sunglasses BOM'!$F:$F,"ABS",
                  'Sunglasses BOM'!$W:$W,$A22),0)</f>
        <v>0</v>
      </c>
      <c r="D22" s="3">
        <f>IFERROR(SUMIFS('Sunglasses BOM'!$E:$E,
                  'Sunglasses BOM'!$F:$F,"ABS",
                  'Sunglasses BOM'!$V:$V,$A22),0)</f>
        <v>0</v>
      </c>
      <c r="E22" s="3">
        <v>0</v>
      </c>
      <c r="F22" s="3">
        <v>0</v>
      </c>
      <c r="G22" s="3">
        <f t="shared" si="1"/>
        <v>0</v>
      </c>
      <c r="H22" s="3">
        <f t="shared" si="2"/>
        <v>0</v>
      </c>
      <c r="I22" s="3">
        <f>IFERROR(2*SUMIFS('Sunglasses BOM'!$E:$E,
                  'Sunglasses BOM'!$F:$F,"Clear ABS",
                  'Sunglasses BOM'!$W:$W,$A22),0)</f>
        <v>0</v>
      </c>
      <c r="J22" s="3">
        <f>IFERROR(SUMIFS('Sunglasses BOM'!$E:$E,
                  'Sunglasses BOM'!$F:$F,"Clear ABS",
                  'Sunglasses BOM'!$V:$V,$A22),0)</f>
        <v>0</v>
      </c>
      <c r="K22" s="3">
        <f t="shared" si="3"/>
        <v>0</v>
      </c>
      <c r="L22" s="3">
        <v>2.95</v>
      </c>
      <c r="M22" s="3">
        <v>7.4</v>
      </c>
      <c r="N22" s="3">
        <f>IFERROR(2*SUMIFS('Sunglasses BOM'!$E:$E,
                  'Sunglasses BOM'!$F:$F,"PP",
                  'Sunglasses BOM'!$W:$W,$A22),0)</f>
        <v>100800</v>
      </c>
      <c r="O22" s="3">
        <f>IFERROR(SUMIFS('Sunglasses BOM'!$E:$E,
                  'Sunglasses BOM'!$F:$F,"PP",
                  'Sunglasses BOM'!$V:$V,$A22),0)</f>
        <v>50400</v>
      </c>
      <c r="P22" s="3">
        <f t="shared" si="5"/>
        <v>670.32</v>
      </c>
      <c r="Q22" s="3">
        <f t="shared" si="4"/>
        <v>13.406400000000001</v>
      </c>
      <c r="R22" s="3"/>
    </row>
    <row r="23" spans="1:18" x14ac:dyDescent="0.3">
      <c r="A23" s="3" t="s">
        <v>173</v>
      </c>
      <c r="B23" s="3" t="str">
        <f>_xlfn.XLOOKUP(A23,'Sunglasses BOM'!$W$7:$W$76,'Sunglasses BOM'!$K$7:$K$76)</f>
        <v>Red</v>
      </c>
      <c r="C23" s="3">
        <f>IFERROR(2*SUMIFS('Sunglasses BOM'!$E:$E,
                  'Sunglasses BOM'!$F:$F,"ABS",
                  'Sunglasses BOM'!$W:$W,$A23),0)</f>
        <v>0</v>
      </c>
      <c r="D23" s="3">
        <f>IFERROR(SUMIFS('Sunglasses BOM'!$E:$E,
                  'Sunglasses BOM'!$F:$F,"ABS",
                  'Sunglasses BOM'!$V:$V,$A23),0)</f>
        <v>0</v>
      </c>
      <c r="E23" s="3">
        <v>0</v>
      </c>
      <c r="F23" s="3">
        <v>0</v>
      </c>
      <c r="G23" s="3">
        <f t="shared" si="1"/>
        <v>0</v>
      </c>
      <c r="H23" s="3">
        <f t="shared" si="2"/>
        <v>0</v>
      </c>
      <c r="I23" s="3">
        <f>IFERROR(2*SUMIFS('Sunglasses BOM'!$E:$E,
                  'Sunglasses BOM'!$F:$F,"Clear ABS",
                  'Sunglasses BOM'!$W:$W,$A23),0)</f>
        <v>0</v>
      </c>
      <c r="J23" s="3">
        <f>IFERROR(SUMIFS('Sunglasses BOM'!$E:$E,
                  'Sunglasses BOM'!$F:$F,"Clear ABS",
                  'Sunglasses BOM'!$V:$V,$A23),0)</f>
        <v>0</v>
      </c>
      <c r="K23" s="3">
        <f t="shared" si="3"/>
        <v>0</v>
      </c>
      <c r="L23" s="3">
        <v>2.95</v>
      </c>
      <c r="M23" s="3">
        <v>7.4</v>
      </c>
      <c r="N23" s="3">
        <f>IFERROR(2*SUMIFS('Sunglasses BOM'!$E:$E,
                  'Sunglasses BOM'!$F:$F,"PP",
                  'Sunglasses BOM'!$W:$W,$A23),0)</f>
        <v>201600</v>
      </c>
      <c r="O23" s="3">
        <f>IFERROR(SUMIFS('Sunglasses BOM'!$E:$E,
                  'Sunglasses BOM'!$F:$F,"PP",
                  'Sunglasses BOM'!$V:$V,$A23),0)</f>
        <v>84000</v>
      </c>
      <c r="P23" s="3">
        <f t="shared" si="5"/>
        <v>1216.32</v>
      </c>
      <c r="Q23" s="3">
        <f t="shared" si="4"/>
        <v>24.3264</v>
      </c>
      <c r="R23" s="3"/>
    </row>
    <row r="24" spans="1:18" x14ac:dyDescent="0.3">
      <c r="A24" s="3" t="s">
        <v>174</v>
      </c>
      <c r="B24" s="3" t="str">
        <f>_xlfn.XLOOKUP(A24,'Sunglasses BOM'!$W$7:$W$76,'Sunglasses BOM'!$K$7:$K$76)</f>
        <v>Grey</v>
      </c>
      <c r="C24" s="3">
        <f>IFERROR(2*SUMIFS('Sunglasses BOM'!$E:$E,
                  'Sunglasses BOM'!$F:$F,"ABS",
                  'Sunglasses BOM'!$W:$W,$A24),0)</f>
        <v>0</v>
      </c>
      <c r="D24" s="3">
        <f>IFERROR(SUMIFS('Sunglasses BOM'!$E:$E,
                  'Sunglasses BOM'!$F:$F,"ABS",
                  'Sunglasses BOM'!$V:$V,$A24),0)</f>
        <v>0</v>
      </c>
      <c r="E24" s="3">
        <v>0</v>
      </c>
      <c r="F24" s="3">
        <v>0</v>
      </c>
      <c r="G24" s="3">
        <f t="shared" si="1"/>
        <v>0</v>
      </c>
      <c r="H24" s="3">
        <f t="shared" si="2"/>
        <v>0</v>
      </c>
      <c r="I24" s="3">
        <f>IFERROR(2*SUMIFS('Sunglasses BOM'!$E:$E,
                  'Sunglasses BOM'!$F:$F,"Clear ABS",
                  'Sunglasses BOM'!$W:$W,$A24),0)</f>
        <v>0</v>
      </c>
      <c r="J24" s="3">
        <f>IFERROR(SUMIFS('Sunglasses BOM'!$E:$E,
                  'Sunglasses BOM'!$F:$F,"Clear ABS",
                  'Sunglasses BOM'!$V:$V,$A24),0)</f>
        <v>0</v>
      </c>
      <c r="K24" s="3">
        <f t="shared" si="3"/>
        <v>0</v>
      </c>
      <c r="L24" s="3">
        <v>2.95</v>
      </c>
      <c r="M24" s="3">
        <v>7.4</v>
      </c>
      <c r="N24" s="3">
        <f>IFERROR(2*SUMIFS('Sunglasses BOM'!$E:$E,
                  'Sunglasses BOM'!$F:$F,"PP",
                  'Sunglasses BOM'!$W:$W,$A24),0)</f>
        <v>16800</v>
      </c>
      <c r="O24" s="3">
        <f>IFERROR(SUMIFS('Sunglasses BOM'!$E:$E,
                  'Sunglasses BOM'!$F:$F,"PP",
                  'Sunglasses BOM'!$V:$V,$A24),0)</f>
        <v>0</v>
      </c>
      <c r="P24" s="3">
        <f t="shared" si="5"/>
        <v>49.56</v>
      </c>
      <c r="Q24" s="3">
        <f t="shared" si="4"/>
        <v>0.99120000000000008</v>
      </c>
      <c r="R24" s="3"/>
    </row>
    <row r="25" spans="1:18" x14ac:dyDescent="0.3">
      <c r="A25" s="3" t="s">
        <v>175</v>
      </c>
      <c r="B25" s="3" t="str">
        <f>_xlfn.XLOOKUP(A25,'Sunglasses BOM'!$W$7:$W$76,'Sunglasses BOM'!$K$7:$K$76)</f>
        <v>Mar</v>
      </c>
      <c r="C25" s="3">
        <f>IFERROR(2*SUMIFS('Sunglasses BOM'!$E:$E,
                  'Sunglasses BOM'!$F:$F,"ABS",
                  'Sunglasses BOM'!$W:$W,$A25),0)</f>
        <v>0</v>
      </c>
      <c r="D25" s="3">
        <f>IFERROR(SUMIFS('Sunglasses BOM'!$E:$E,
                  'Sunglasses BOM'!$F:$F,"ABS",
                  'Sunglasses BOM'!$V:$V,$A25),0)</f>
        <v>0</v>
      </c>
      <c r="E25" s="3">
        <v>0</v>
      </c>
      <c r="F25" s="3">
        <v>0</v>
      </c>
      <c r="G25" s="3">
        <f t="shared" si="1"/>
        <v>0</v>
      </c>
      <c r="H25" s="3">
        <f t="shared" si="2"/>
        <v>0</v>
      </c>
      <c r="I25" s="3">
        <f>IFERROR(2*SUMIFS('Sunglasses BOM'!$E:$E,
                  'Sunglasses BOM'!$F:$F,"Clear ABS",
                  'Sunglasses BOM'!$W:$W,$A25),0)</f>
        <v>0</v>
      </c>
      <c r="J25" s="3">
        <f>IFERROR(SUMIFS('Sunglasses BOM'!$E:$E,
                  'Sunglasses BOM'!$F:$F,"Clear ABS",
                  'Sunglasses BOM'!$V:$V,$A25),0)</f>
        <v>0</v>
      </c>
      <c r="K25" s="3">
        <f t="shared" si="3"/>
        <v>0</v>
      </c>
      <c r="L25" s="3">
        <v>2.95</v>
      </c>
      <c r="M25" s="3">
        <v>7.4</v>
      </c>
      <c r="N25" s="3">
        <f>IFERROR(2*SUMIFS('Sunglasses BOM'!$E:$E,
                  'Sunglasses BOM'!$F:$F,"PP",
                  'Sunglasses BOM'!$W:$W,$A25),0)</f>
        <v>16800</v>
      </c>
      <c r="O25" s="3">
        <f>IFERROR(SUMIFS('Sunglasses BOM'!$E:$E,
                  'Sunglasses BOM'!$F:$F,"PP",
                  'Sunglasses BOM'!$V:$V,$A25),0)</f>
        <v>8400</v>
      </c>
      <c r="P25" s="3">
        <f t="shared" si="5"/>
        <v>111.72</v>
      </c>
      <c r="Q25" s="3">
        <f t="shared" si="4"/>
        <v>2.2343999999999999</v>
      </c>
      <c r="R25" s="3"/>
    </row>
    <row r="26" spans="1:18" x14ac:dyDescent="0.3">
      <c r="A26" s="3" t="s">
        <v>176</v>
      </c>
      <c r="B26" s="3" t="str">
        <f>_xlfn.XLOOKUP(A26,'Sunglasses BOM'!$W$7:$W$76,'Sunglasses BOM'!$K$7:$K$76)</f>
        <v>Orange</v>
      </c>
      <c r="C26" s="3">
        <f>IFERROR(2*SUMIFS('Sunglasses BOM'!$E:$E,
                  'Sunglasses BOM'!$F:$F,"ABS",
                  'Sunglasses BOM'!$W:$W,$A26),0)</f>
        <v>0</v>
      </c>
      <c r="D26" s="3">
        <f>IFERROR(SUMIFS('Sunglasses BOM'!$E:$E,
                  'Sunglasses BOM'!$F:$F,"ABS",
                  'Sunglasses BOM'!$V:$V,$A26),0)</f>
        <v>0</v>
      </c>
      <c r="E26" s="3">
        <v>0</v>
      </c>
      <c r="F26" s="3">
        <v>0</v>
      </c>
      <c r="G26" s="3">
        <f t="shared" si="1"/>
        <v>0</v>
      </c>
      <c r="H26" s="3">
        <f t="shared" si="2"/>
        <v>0</v>
      </c>
      <c r="I26" s="3">
        <f>IFERROR(2*SUMIFS('Sunglasses BOM'!$E:$E,
                  'Sunglasses BOM'!$F:$F,"Clear ABS",
                  'Sunglasses BOM'!$W:$W,$A26),0)</f>
        <v>0</v>
      </c>
      <c r="J26" s="3">
        <f>IFERROR(SUMIFS('Sunglasses BOM'!$E:$E,
                  'Sunglasses BOM'!$F:$F,"Clear ABS",
                  'Sunglasses BOM'!$V:$V,$A26),0)</f>
        <v>0</v>
      </c>
      <c r="K26" s="3">
        <f t="shared" si="3"/>
        <v>0</v>
      </c>
      <c r="L26" s="3">
        <v>2.95</v>
      </c>
      <c r="M26" s="3">
        <v>7.4</v>
      </c>
      <c r="N26" s="3">
        <f>IFERROR(2*SUMIFS('Sunglasses BOM'!$E:$E,
                  'Sunglasses BOM'!$F:$F,"PP",
                  'Sunglasses BOM'!$W:$W,$A26),0)</f>
        <v>100800</v>
      </c>
      <c r="O26" s="3">
        <f>IFERROR(SUMIFS('Sunglasses BOM'!$E:$E,
                  'Sunglasses BOM'!$F:$F,"PP",
                  'Sunglasses BOM'!$V:$V,$A26),0)</f>
        <v>50400</v>
      </c>
      <c r="P26" s="3">
        <f t="shared" si="5"/>
        <v>670.32</v>
      </c>
      <c r="Q26" s="3">
        <f t="shared" si="4"/>
        <v>13.406400000000001</v>
      </c>
      <c r="R26" s="3"/>
    </row>
    <row r="27" spans="1:18" x14ac:dyDescent="0.3">
      <c r="A27" s="3" t="s">
        <v>177</v>
      </c>
      <c r="B27" s="3" t="str">
        <f>_xlfn.XLOOKUP(A27,'Sunglasses BOM'!$W$7:$W$76,'Sunglasses BOM'!$K$7:$K$76)</f>
        <v>Purple</v>
      </c>
      <c r="C27" s="3">
        <f>IFERROR(2*SUMIFS('Sunglasses BOM'!$E:$E,
                  'Sunglasses BOM'!$F:$F,"ABS",
                  'Sunglasses BOM'!$W:$W,$A27),0)</f>
        <v>0</v>
      </c>
      <c r="D27" s="3">
        <f>IFERROR(SUMIFS('Sunglasses BOM'!$E:$E,
                  'Sunglasses BOM'!$F:$F,"ABS",
                  'Sunglasses BOM'!$V:$V,$A27),0)</f>
        <v>0</v>
      </c>
      <c r="E27" s="3">
        <v>0</v>
      </c>
      <c r="F27" s="3">
        <v>0</v>
      </c>
      <c r="G27" s="3">
        <f t="shared" si="1"/>
        <v>0</v>
      </c>
      <c r="H27" s="3">
        <f t="shared" si="2"/>
        <v>0</v>
      </c>
      <c r="I27" s="3">
        <f>IFERROR(2*SUMIFS('Sunglasses BOM'!$E:$E,
                  'Sunglasses BOM'!$F:$F,"Clear ABS",
                  'Sunglasses BOM'!$W:$W,$A27),0)</f>
        <v>0</v>
      </c>
      <c r="J27" s="3">
        <f>IFERROR(SUMIFS('Sunglasses BOM'!$E:$E,
                  'Sunglasses BOM'!$F:$F,"Clear ABS",
                  'Sunglasses BOM'!$V:$V,$A27),0)</f>
        <v>0</v>
      </c>
      <c r="K27" s="3">
        <f t="shared" si="3"/>
        <v>0</v>
      </c>
      <c r="L27" s="3">
        <v>2.95</v>
      </c>
      <c r="M27" s="3">
        <v>7.4</v>
      </c>
      <c r="N27" s="3">
        <f>IFERROR(2*SUMIFS('Sunglasses BOM'!$E:$E,
                  'Sunglasses BOM'!$F:$F,"PP",
                  'Sunglasses BOM'!$W:$W,$A27),0)</f>
        <v>50400</v>
      </c>
      <c r="O27" s="3">
        <f>IFERROR(SUMIFS('Sunglasses BOM'!$E:$E,
                  'Sunglasses BOM'!$F:$F,"PP",
                  'Sunglasses BOM'!$V:$V,$A27),0)</f>
        <v>25200</v>
      </c>
      <c r="P27" s="3">
        <f t="shared" si="5"/>
        <v>335.16</v>
      </c>
      <c r="Q27" s="3">
        <f t="shared" si="4"/>
        <v>6.7032000000000007</v>
      </c>
      <c r="R27" s="3"/>
    </row>
    <row r="28" spans="1:18" x14ac:dyDescent="0.3">
      <c r="A28" s="3" t="s">
        <v>178</v>
      </c>
      <c r="B28" s="3" t="str">
        <f>_xlfn.XLOOKUP(A28,'Sunglasses BOM'!$X$7:$X$76,'Sunglasses BOM'!$L$7:$L$76)</f>
        <v>Blue</v>
      </c>
      <c r="C28" s="3">
        <f>IFERROR(2*SUMIFS('Sunglasses BOM'!$E:$E,
                  'Sunglasses BOM'!$F:$F,"ABS",
                  'Sunglasses BOM'!$W:$W,$A28),0)</f>
        <v>0</v>
      </c>
      <c r="D28" s="3">
        <f>IFERROR(SUMIFS('Sunglasses BOM'!$E:$E,
                  'Sunglasses BOM'!$F:$F,"ABS",
                  'Sunglasses BOM'!$V:$V,$A28),0)</f>
        <v>0</v>
      </c>
      <c r="E28" s="3">
        <v>0</v>
      </c>
      <c r="F28" s="3">
        <v>0</v>
      </c>
      <c r="G28" s="3">
        <f t="shared" si="1"/>
        <v>0</v>
      </c>
      <c r="H28" s="3">
        <f t="shared" si="2"/>
        <v>0</v>
      </c>
      <c r="I28" s="3">
        <f>IFERROR(2*SUMIFS('Sunglasses BOM'!$E:$E,
                  'Sunglasses BOM'!$F:$F,"Clear ABS",
                  'Sunglasses BOM'!$W:$W,$A28),0)</f>
        <v>0</v>
      </c>
      <c r="J28" s="3">
        <f>IFERROR(SUMIFS('Sunglasses BOM'!$E:$E,
                  'Sunglasses BOM'!$F:$F,"Clear ABS",
                  'Sunglasses BOM'!$V:$V,$A28),0)</f>
        <v>0</v>
      </c>
      <c r="K28" s="3">
        <f t="shared" si="3"/>
        <v>0</v>
      </c>
      <c r="L28" s="3">
        <v>2.95</v>
      </c>
      <c r="M28" s="3">
        <v>7.4</v>
      </c>
      <c r="N28" s="3">
        <f>IFERROR(2*SUMIFS('Sunglasses BOM'!$E:$E,
                  'Sunglasses BOM'!$F:$F,"PP",
                  'Sunglasses BOM'!$W:$W,$A28),0)</f>
        <v>0</v>
      </c>
      <c r="O28" s="3">
        <f>IFERROR(SUMIFS('Sunglasses BOM'!$E:$E,
                  'Sunglasses BOM'!$F:$F,"PP",
                  'Sunglasses BOM'!$V:$V,$A28),0)</f>
        <v>8400</v>
      </c>
      <c r="P28" s="3">
        <f t="shared" si="5"/>
        <v>62.16</v>
      </c>
      <c r="Q28" s="3">
        <f t="shared" si="4"/>
        <v>1.2431999999999999</v>
      </c>
      <c r="R28" s="3"/>
    </row>
    <row r="29" spans="1:18" x14ac:dyDescent="0.3">
      <c r="A29" s="3"/>
      <c r="B29" s="3"/>
      <c r="C29" s="3"/>
      <c r="D29" s="3"/>
      <c r="E29" s="3"/>
      <c r="F29" s="3"/>
      <c r="G29" s="3">
        <f>SUM(G4:G28)</f>
        <v>13171.2</v>
      </c>
      <c r="H29" s="3">
        <f t="shared" ref="H29:Q29" si="6">SUM(H4:H28)</f>
        <v>263.42400000000004</v>
      </c>
      <c r="I29" s="3">
        <f t="shared" si="6"/>
        <v>235200</v>
      </c>
      <c r="J29" s="3">
        <f t="shared" si="6"/>
        <v>117600</v>
      </c>
      <c r="K29" s="3">
        <f t="shared" si="6"/>
        <v>1646.4</v>
      </c>
      <c r="L29" s="3"/>
      <c r="M29" s="3"/>
      <c r="N29" s="3">
        <f t="shared" si="6"/>
        <v>1495200</v>
      </c>
      <c r="O29" s="3">
        <f t="shared" si="6"/>
        <v>747600</v>
      </c>
      <c r="P29" s="3">
        <f t="shared" si="6"/>
        <v>9943.0799999999981</v>
      </c>
      <c r="Q29" s="3">
        <f t="shared" si="6"/>
        <v>198.86159999999998</v>
      </c>
      <c r="R29" s="3"/>
    </row>
  </sheetData>
  <mergeCells count="1">
    <mergeCell ref="A1: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139F-4D55-438A-8DD8-E4D791C80963}">
  <dimension ref="A1:E6"/>
  <sheetViews>
    <sheetView topLeftCell="B1" workbookViewId="0">
      <selection activeCell="D22" sqref="D22"/>
    </sheetView>
  </sheetViews>
  <sheetFormatPr defaultRowHeight="14.4" x14ac:dyDescent="0.3"/>
  <cols>
    <col min="1" max="1" width="12.44140625" bestFit="1" customWidth="1"/>
    <col min="2" max="2" width="17.5546875" bestFit="1" customWidth="1"/>
    <col min="3" max="3" width="16.77734375" bestFit="1" customWidth="1"/>
    <col min="4" max="4" width="27.6640625" bestFit="1" customWidth="1"/>
    <col min="5" max="5" width="13.77734375" customWidth="1"/>
    <col min="6" max="6" width="15.33203125" customWidth="1"/>
    <col min="7" max="7" width="14.109375" customWidth="1"/>
    <col min="8" max="8" width="15" customWidth="1"/>
    <col min="9" max="9" width="23.5546875" customWidth="1"/>
    <col min="10" max="10" width="16.5546875" customWidth="1"/>
    <col min="11" max="11" width="15.6640625" customWidth="1"/>
    <col min="12" max="12" width="21.109375" customWidth="1"/>
  </cols>
  <sheetData>
    <row r="1" spans="1:5" x14ac:dyDescent="0.3">
      <c r="A1" t="s">
        <v>186</v>
      </c>
      <c r="B1" t="s">
        <v>187</v>
      </c>
      <c r="C1" t="s">
        <v>189</v>
      </c>
      <c r="D1" t="s">
        <v>188</v>
      </c>
      <c r="E1" t="s">
        <v>320</v>
      </c>
    </row>
    <row r="2" spans="1:5" x14ac:dyDescent="0.3">
      <c r="A2" t="s">
        <v>155</v>
      </c>
      <c r="B2">
        <v>109200</v>
      </c>
      <c r="C2">
        <f>(B2*0.8)/1000</f>
        <v>87.36</v>
      </c>
      <c r="D2">
        <v>87.36</v>
      </c>
      <c r="E2">
        <f>D2*2</f>
        <v>174.72</v>
      </c>
    </row>
    <row r="3" spans="1:5" x14ac:dyDescent="0.3">
      <c r="A3" t="s">
        <v>113</v>
      </c>
      <c r="B3">
        <v>33600</v>
      </c>
      <c r="C3">
        <f t="shared" ref="C3" si="0">(B3*0.8)/1000</f>
        <v>26.88</v>
      </c>
      <c r="D3">
        <v>26.88</v>
      </c>
      <c r="E3">
        <f>D3*2</f>
        <v>53.76</v>
      </c>
    </row>
    <row r="5" spans="1:5" x14ac:dyDescent="0.3">
      <c r="A5" t="s">
        <v>321</v>
      </c>
      <c r="B5">
        <v>700</v>
      </c>
      <c r="C5">
        <f>B5*1400</f>
        <v>980000</v>
      </c>
      <c r="D5">
        <f>C5/1058200</f>
        <v>0.92610092610092609</v>
      </c>
    </row>
    <row r="6" spans="1:5" x14ac:dyDescent="0.3">
      <c r="A6" t="s">
        <v>322</v>
      </c>
      <c r="B6">
        <v>230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720D7-9EFE-46ED-BF9F-077E09E8758C}">
  <dimension ref="A1:I24"/>
  <sheetViews>
    <sheetView zoomScale="138" workbookViewId="0">
      <selection activeCell="I23" sqref="I23"/>
    </sheetView>
  </sheetViews>
  <sheetFormatPr defaultRowHeight="14.4" x14ac:dyDescent="0.3"/>
  <cols>
    <col min="1" max="1" width="8.21875" bestFit="1" customWidth="1"/>
    <col min="2" max="2" width="6" bestFit="1" customWidth="1"/>
    <col min="3" max="3" width="9.44140625" bestFit="1" customWidth="1"/>
    <col min="4" max="4" width="11.77734375" bestFit="1" customWidth="1"/>
    <col min="5" max="5" width="5.109375" bestFit="1" customWidth="1"/>
    <col min="6" max="6" width="12.88671875" bestFit="1" customWidth="1"/>
    <col min="7" max="7" width="9.77734375" bestFit="1" customWidth="1"/>
    <col min="8" max="8" width="7.88671875" bestFit="1" customWidth="1"/>
    <col min="9" max="9" width="7" bestFit="1" customWidth="1"/>
  </cols>
  <sheetData>
    <row r="1" spans="1:9" x14ac:dyDescent="0.3">
      <c r="A1" s="106" t="s">
        <v>7</v>
      </c>
      <c r="B1" s="107"/>
      <c r="C1" s="107"/>
      <c r="D1" s="107"/>
      <c r="E1" s="107"/>
      <c r="F1" s="107"/>
      <c r="G1" s="107"/>
      <c r="H1" s="107"/>
      <c r="I1" s="108"/>
    </row>
    <row r="2" spans="1:9" x14ac:dyDescent="0.3">
      <c r="A2" s="109" t="s">
        <v>185</v>
      </c>
      <c r="B2" s="110"/>
      <c r="C2" s="110"/>
      <c r="D2" s="110"/>
      <c r="E2" s="110"/>
      <c r="F2" s="110"/>
      <c r="G2" s="110"/>
      <c r="H2" s="110"/>
      <c r="I2" s="111"/>
    </row>
    <row r="3" spans="1:9" x14ac:dyDescent="0.3">
      <c r="A3" s="2" t="s">
        <v>323</v>
      </c>
      <c r="B3" s="3" t="s">
        <v>324</v>
      </c>
      <c r="C3" s="3" t="s">
        <v>325</v>
      </c>
      <c r="D3" s="3" t="s">
        <v>326</v>
      </c>
      <c r="E3" s="3" t="s">
        <v>327</v>
      </c>
      <c r="F3" s="3" t="s">
        <v>328</v>
      </c>
      <c r="G3" s="3" t="s">
        <v>329</v>
      </c>
      <c r="H3" s="3" t="s">
        <v>330</v>
      </c>
      <c r="I3" s="6" t="s">
        <v>331</v>
      </c>
    </row>
    <row r="4" spans="1:9" x14ac:dyDescent="0.3">
      <c r="A4" s="2" t="s">
        <v>332</v>
      </c>
      <c r="B4" s="3">
        <v>2</v>
      </c>
      <c r="C4" s="3">
        <v>25</v>
      </c>
      <c r="D4" s="3">
        <f>B4</f>
        <v>2</v>
      </c>
      <c r="E4" s="3">
        <v>1</v>
      </c>
      <c r="F4" s="22">
        <f>I4/E4</f>
        <v>6336</v>
      </c>
      <c r="G4" s="22">
        <f>(60*D4)/C4</f>
        <v>4.8</v>
      </c>
      <c r="H4" s="22">
        <f>G4*60</f>
        <v>288</v>
      </c>
      <c r="I4" s="23">
        <f>H4*22</f>
        <v>6336</v>
      </c>
    </row>
    <row r="5" spans="1:9" x14ac:dyDescent="0.3">
      <c r="A5" s="2" t="s">
        <v>333</v>
      </c>
      <c r="B5" s="3">
        <v>4</v>
      </c>
      <c r="C5" s="3">
        <v>33</v>
      </c>
      <c r="D5" s="3">
        <f t="shared" ref="D5:D22" si="0">B5</f>
        <v>4</v>
      </c>
      <c r="E5" s="3">
        <v>1</v>
      </c>
      <c r="F5" s="22">
        <f t="shared" ref="F5:F22" si="1">I5/E5</f>
        <v>9600</v>
      </c>
      <c r="G5" s="22">
        <f t="shared" ref="G5:G22" si="2">(60*D5)/C5</f>
        <v>7.2727272727272725</v>
      </c>
      <c r="H5" s="22">
        <f t="shared" ref="H5:H23" si="3">G5*60</f>
        <v>436.36363636363637</v>
      </c>
      <c r="I5" s="23">
        <f>H5*22</f>
        <v>9600</v>
      </c>
    </row>
    <row r="6" spans="1:9" x14ac:dyDescent="0.3">
      <c r="A6" s="2" t="s">
        <v>334</v>
      </c>
      <c r="B6" s="3">
        <v>4</v>
      </c>
      <c r="C6" s="3">
        <v>33</v>
      </c>
      <c r="D6" s="3">
        <f t="shared" si="0"/>
        <v>4</v>
      </c>
      <c r="E6" s="3">
        <v>1</v>
      </c>
      <c r="F6" s="22">
        <f t="shared" si="1"/>
        <v>9600</v>
      </c>
      <c r="G6" s="22">
        <f t="shared" si="2"/>
        <v>7.2727272727272725</v>
      </c>
      <c r="H6" s="22">
        <f t="shared" si="3"/>
        <v>436.36363636363637</v>
      </c>
      <c r="I6" s="23">
        <f>H6*22</f>
        <v>9600</v>
      </c>
    </row>
    <row r="7" spans="1:9" x14ac:dyDescent="0.3">
      <c r="A7" s="2"/>
      <c r="B7" s="3"/>
      <c r="C7" s="3"/>
      <c r="D7" s="3"/>
      <c r="E7" s="3"/>
      <c r="F7" s="22">
        <f>SUM(F4:F6)</f>
        <v>25536</v>
      </c>
      <c r="G7" s="22"/>
      <c r="H7" s="22"/>
      <c r="I7" s="23"/>
    </row>
    <row r="8" spans="1:9" x14ac:dyDescent="0.3">
      <c r="A8" s="103" t="s">
        <v>184</v>
      </c>
      <c r="B8" s="104"/>
      <c r="C8" s="104"/>
      <c r="D8" s="104"/>
      <c r="E8" s="104"/>
      <c r="F8" s="104"/>
      <c r="G8" s="104"/>
      <c r="H8" s="104"/>
      <c r="I8" s="105"/>
    </row>
    <row r="9" spans="1:9" x14ac:dyDescent="0.3">
      <c r="A9" s="2" t="s">
        <v>335</v>
      </c>
      <c r="B9" s="3">
        <v>4</v>
      </c>
      <c r="C9" s="3">
        <v>22</v>
      </c>
      <c r="D9" s="3">
        <f t="shared" si="0"/>
        <v>4</v>
      </c>
      <c r="E9" s="3">
        <v>2</v>
      </c>
      <c r="F9" s="22">
        <f t="shared" si="1"/>
        <v>7200</v>
      </c>
      <c r="G9" s="22">
        <f t="shared" si="2"/>
        <v>10.909090909090908</v>
      </c>
      <c r="H9" s="22">
        <f t="shared" si="3"/>
        <v>654.5454545454545</v>
      </c>
      <c r="I9" s="23">
        <f>H9*22</f>
        <v>14400</v>
      </c>
    </row>
    <row r="10" spans="1:9" x14ac:dyDescent="0.3">
      <c r="A10" s="2" t="s">
        <v>336</v>
      </c>
      <c r="B10" s="3">
        <v>8</v>
      </c>
      <c r="C10" s="3">
        <v>33</v>
      </c>
      <c r="D10" s="3">
        <f t="shared" si="0"/>
        <v>8</v>
      </c>
      <c r="E10" s="3">
        <v>2</v>
      </c>
      <c r="F10" s="22">
        <f t="shared" si="1"/>
        <v>9600</v>
      </c>
      <c r="G10" s="22">
        <f t="shared" si="2"/>
        <v>14.545454545454545</v>
      </c>
      <c r="H10" s="22">
        <f t="shared" si="3"/>
        <v>872.72727272727275</v>
      </c>
      <c r="I10" s="23">
        <f>H10*22</f>
        <v>19200</v>
      </c>
    </row>
    <row r="11" spans="1:9" ht="15" thickBot="1" x14ac:dyDescent="0.35">
      <c r="A11" s="4" t="s">
        <v>337</v>
      </c>
      <c r="B11" s="5">
        <v>8</v>
      </c>
      <c r="C11" s="5">
        <v>33</v>
      </c>
      <c r="D11" s="5">
        <f>B11</f>
        <v>8</v>
      </c>
      <c r="E11" s="5">
        <v>2</v>
      </c>
      <c r="F11" s="24">
        <f>I11/E11</f>
        <v>9600</v>
      </c>
      <c r="G11" s="24">
        <f>(60*D11)/C11</f>
        <v>14.545454545454545</v>
      </c>
      <c r="H11" s="24">
        <f>G11*60</f>
        <v>872.72727272727275</v>
      </c>
      <c r="I11" s="25">
        <f>H11*22</f>
        <v>19200</v>
      </c>
    </row>
    <row r="12" spans="1:9" ht="15" thickBot="1" x14ac:dyDescent="0.35">
      <c r="A12" s="4"/>
      <c r="B12" s="5"/>
      <c r="C12" s="5"/>
      <c r="D12" s="5"/>
      <c r="E12" s="5"/>
      <c r="F12" s="22">
        <f>SUM(F9:F11)</f>
        <v>26400</v>
      </c>
      <c r="G12" s="24"/>
      <c r="H12" s="24"/>
      <c r="I12" s="25"/>
    </row>
    <row r="13" spans="1:9" ht="15" thickBot="1" x14ac:dyDescent="0.35">
      <c r="F13" s="21" t="s">
        <v>344</v>
      </c>
      <c r="G13" s="21"/>
      <c r="H13" s="21"/>
      <c r="I13" s="21"/>
    </row>
    <row r="14" spans="1:9" x14ac:dyDescent="0.3">
      <c r="A14" s="112" t="s">
        <v>6</v>
      </c>
      <c r="B14" s="113"/>
      <c r="C14" s="113"/>
      <c r="D14" s="113"/>
      <c r="E14" s="113"/>
      <c r="F14" s="113"/>
      <c r="G14" s="113"/>
      <c r="H14" s="113"/>
      <c r="I14" s="114"/>
    </row>
    <row r="15" spans="1:9" x14ac:dyDescent="0.3">
      <c r="A15" s="103" t="s">
        <v>185</v>
      </c>
      <c r="B15" s="104"/>
      <c r="C15" s="104"/>
      <c r="D15" s="104"/>
      <c r="E15" s="104"/>
      <c r="F15" s="104"/>
      <c r="G15" s="104"/>
      <c r="H15" s="104"/>
      <c r="I15" s="105"/>
    </row>
    <row r="16" spans="1:9" x14ac:dyDescent="0.3">
      <c r="A16" s="2" t="s">
        <v>338</v>
      </c>
      <c r="B16" s="3">
        <v>2</v>
      </c>
      <c r="C16" s="3">
        <v>25</v>
      </c>
      <c r="D16" s="3">
        <f t="shared" si="0"/>
        <v>2</v>
      </c>
      <c r="E16" s="3">
        <v>1</v>
      </c>
      <c r="F16" s="22">
        <f t="shared" si="1"/>
        <v>6336</v>
      </c>
      <c r="G16" s="22">
        <f t="shared" si="2"/>
        <v>4.8</v>
      </c>
      <c r="H16" s="22">
        <f t="shared" si="3"/>
        <v>288</v>
      </c>
      <c r="I16" s="23">
        <f>H16*22</f>
        <v>6336</v>
      </c>
    </row>
    <row r="17" spans="1:9" x14ac:dyDescent="0.3">
      <c r="A17" s="2" t="s">
        <v>339</v>
      </c>
      <c r="B17" s="3">
        <v>4</v>
      </c>
      <c r="C17" s="3">
        <v>30</v>
      </c>
      <c r="D17" s="3">
        <f t="shared" si="0"/>
        <v>4</v>
      </c>
      <c r="E17" s="3">
        <v>1</v>
      </c>
      <c r="F17" s="22">
        <f t="shared" si="1"/>
        <v>10560</v>
      </c>
      <c r="G17" s="22">
        <f t="shared" si="2"/>
        <v>8</v>
      </c>
      <c r="H17" s="22">
        <f t="shared" si="3"/>
        <v>480</v>
      </c>
      <c r="I17" s="23">
        <f>H17*22</f>
        <v>10560</v>
      </c>
    </row>
    <row r="18" spans="1:9" x14ac:dyDescent="0.3">
      <c r="A18" s="2" t="s">
        <v>340</v>
      </c>
      <c r="B18" s="3">
        <v>4</v>
      </c>
      <c r="C18" s="3">
        <v>30</v>
      </c>
      <c r="D18" s="3">
        <f t="shared" si="0"/>
        <v>4</v>
      </c>
      <c r="E18" s="3">
        <v>1</v>
      </c>
      <c r="F18" s="22">
        <f t="shared" si="1"/>
        <v>10560</v>
      </c>
      <c r="G18" s="22">
        <f t="shared" si="2"/>
        <v>8</v>
      </c>
      <c r="H18" s="22">
        <f t="shared" si="3"/>
        <v>480</v>
      </c>
      <c r="I18" s="23">
        <f>H18*22</f>
        <v>10560</v>
      </c>
    </row>
    <row r="19" spans="1:9" x14ac:dyDescent="0.3">
      <c r="A19" s="2"/>
      <c r="B19" s="3"/>
      <c r="C19" s="3"/>
      <c r="D19" s="3"/>
      <c r="E19" s="3"/>
      <c r="F19" s="22">
        <f>SUM(F16:F18)</f>
        <v>27456</v>
      </c>
      <c r="G19" s="22"/>
      <c r="H19" s="22"/>
      <c r="I19" s="23"/>
    </row>
    <row r="20" spans="1:9" x14ac:dyDescent="0.3">
      <c r="A20" s="103" t="s">
        <v>478</v>
      </c>
      <c r="B20" s="104"/>
      <c r="C20" s="104"/>
      <c r="D20" s="104"/>
      <c r="E20" s="104"/>
      <c r="F20" s="104"/>
      <c r="G20" s="104"/>
      <c r="H20" s="104"/>
      <c r="I20" s="105"/>
    </row>
    <row r="21" spans="1:9" x14ac:dyDescent="0.3">
      <c r="A21" s="2" t="s">
        <v>341</v>
      </c>
      <c r="B21" s="3">
        <v>4</v>
      </c>
      <c r="C21" s="3">
        <v>22</v>
      </c>
      <c r="D21" s="3">
        <f t="shared" si="0"/>
        <v>4</v>
      </c>
      <c r="E21" s="3">
        <v>2</v>
      </c>
      <c r="F21" s="22">
        <f t="shared" si="1"/>
        <v>7200</v>
      </c>
      <c r="G21" s="22">
        <f t="shared" si="2"/>
        <v>10.909090909090908</v>
      </c>
      <c r="H21" s="22">
        <f t="shared" si="3"/>
        <v>654.5454545454545</v>
      </c>
      <c r="I21" s="23">
        <f>H21*22</f>
        <v>14400</v>
      </c>
    </row>
    <row r="22" spans="1:9" x14ac:dyDescent="0.3">
      <c r="A22" s="2" t="s">
        <v>342</v>
      </c>
      <c r="B22" s="3">
        <v>8</v>
      </c>
      <c r="C22" s="3">
        <v>30</v>
      </c>
      <c r="D22" s="3">
        <f t="shared" si="0"/>
        <v>8</v>
      </c>
      <c r="E22" s="3">
        <v>2</v>
      </c>
      <c r="F22" s="22">
        <f t="shared" si="1"/>
        <v>10560</v>
      </c>
      <c r="G22" s="22">
        <f t="shared" si="2"/>
        <v>16</v>
      </c>
      <c r="H22" s="22">
        <f t="shared" si="3"/>
        <v>960</v>
      </c>
      <c r="I22" s="23">
        <f>H22*22</f>
        <v>21120</v>
      </c>
    </row>
    <row r="23" spans="1:9" ht="15" thickBot="1" x14ac:dyDescent="0.35">
      <c r="A23" s="4" t="s">
        <v>343</v>
      </c>
      <c r="B23" s="5">
        <v>8</v>
      </c>
      <c r="C23" s="5">
        <v>30</v>
      </c>
      <c r="D23" s="5">
        <f t="shared" ref="D23" si="4">B23</f>
        <v>8</v>
      </c>
      <c r="E23" s="5">
        <v>2</v>
      </c>
      <c r="F23" s="24">
        <f t="shared" ref="F23" si="5">I23/E23</f>
        <v>10560</v>
      </c>
      <c r="G23" s="24">
        <f t="shared" ref="G23" si="6">(60*D23)/C23</f>
        <v>16</v>
      </c>
      <c r="H23" s="24">
        <f t="shared" si="3"/>
        <v>960</v>
      </c>
      <c r="I23" s="25">
        <f>H23*22</f>
        <v>21120</v>
      </c>
    </row>
    <row r="24" spans="1:9" ht="15" thickBot="1" x14ac:dyDescent="0.35">
      <c r="A24" s="4"/>
      <c r="B24" s="5"/>
      <c r="C24" s="5"/>
      <c r="D24" s="5"/>
      <c r="E24" s="5"/>
      <c r="F24" s="22">
        <f>SUM(F21:F23)</f>
        <v>28320</v>
      </c>
      <c r="G24" s="24"/>
      <c r="H24" s="24"/>
      <c r="I24" s="25"/>
    </row>
  </sheetData>
  <mergeCells count="6">
    <mergeCell ref="A20:I20"/>
    <mergeCell ref="A1:I1"/>
    <mergeCell ref="A2:I2"/>
    <mergeCell ref="A8:I8"/>
    <mergeCell ref="A14:I14"/>
    <mergeCell ref="A15:I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A03DB-6953-467A-A956-252F62D1E0A1}">
  <dimension ref="A1:DE44"/>
  <sheetViews>
    <sheetView zoomScaleNormal="100" workbookViewId="0">
      <pane xSplit="7" ySplit="3" topLeftCell="H27" activePane="bottomRight" state="frozen"/>
      <selection pane="topRight" activeCell="I1" sqref="I1"/>
      <selection pane="bottomLeft" activeCell="A4" sqref="A4"/>
      <selection pane="bottomRight" activeCell="G44" sqref="G44"/>
    </sheetView>
  </sheetViews>
  <sheetFormatPr defaultRowHeight="14.4" x14ac:dyDescent="0.3"/>
  <cols>
    <col min="1" max="1" width="12.44140625" bestFit="1" customWidth="1"/>
    <col min="2" max="2" width="15.5546875" bestFit="1" customWidth="1"/>
    <col min="3" max="3" width="12.44140625" bestFit="1" customWidth="1"/>
    <col min="6" max="6" width="12.109375" customWidth="1"/>
    <col min="7" max="7" width="15.88671875" customWidth="1"/>
    <col min="8" max="8" width="10.77734375" bestFit="1" customWidth="1"/>
  </cols>
  <sheetData>
    <row r="1" spans="1:109" x14ac:dyDescent="0.3">
      <c r="A1" s="33" t="s">
        <v>418</v>
      </c>
      <c r="B1" s="34" t="s">
        <v>6</v>
      </c>
      <c r="C1" s="32"/>
      <c r="D1" s="3"/>
      <c r="E1" s="3"/>
      <c r="F1" s="3"/>
      <c r="G1" s="9"/>
      <c r="H1" s="106" t="s">
        <v>427</v>
      </c>
      <c r="I1" s="108"/>
      <c r="J1" s="106" t="s">
        <v>428</v>
      </c>
      <c r="K1" s="108"/>
      <c r="L1" s="106" t="s">
        <v>429</v>
      </c>
      <c r="M1" s="108"/>
      <c r="N1" s="106" t="s">
        <v>430</v>
      </c>
      <c r="O1" s="108"/>
      <c r="P1" s="106" t="s">
        <v>431</v>
      </c>
      <c r="Q1" s="108"/>
      <c r="R1" s="106" t="s">
        <v>432</v>
      </c>
      <c r="S1" s="108"/>
      <c r="T1" s="106" t="s">
        <v>433</v>
      </c>
      <c r="U1" s="108"/>
      <c r="V1" s="106" t="s">
        <v>434</v>
      </c>
      <c r="W1" s="108"/>
      <c r="X1" s="106" t="s">
        <v>435</v>
      </c>
      <c r="Y1" s="108"/>
      <c r="Z1" s="106" t="s">
        <v>436</v>
      </c>
      <c r="AA1" s="108"/>
      <c r="AB1" s="106" t="s">
        <v>437</v>
      </c>
      <c r="AC1" s="108"/>
      <c r="AD1" s="106" t="s">
        <v>438</v>
      </c>
      <c r="AE1" s="108"/>
      <c r="AF1" s="106" t="s">
        <v>439</v>
      </c>
      <c r="AG1" s="108"/>
      <c r="AH1" s="106" t="s">
        <v>440</v>
      </c>
      <c r="AI1" s="108"/>
      <c r="AJ1" s="106" t="s">
        <v>441</v>
      </c>
      <c r="AK1" s="108"/>
      <c r="AL1" s="106" t="s">
        <v>442</v>
      </c>
      <c r="AM1" s="108"/>
      <c r="AN1" s="106" t="s">
        <v>443</v>
      </c>
      <c r="AO1" s="108"/>
      <c r="AP1" s="106" t="s">
        <v>444</v>
      </c>
      <c r="AQ1" s="108"/>
      <c r="AR1" s="106" t="s">
        <v>445</v>
      </c>
      <c r="AS1" s="108"/>
      <c r="AT1" s="106" t="s">
        <v>446</v>
      </c>
      <c r="AU1" s="108"/>
      <c r="AV1" s="106" t="s">
        <v>447</v>
      </c>
      <c r="AW1" s="108"/>
      <c r="AX1" s="106" t="s">
        <v>448</v>
      </c>
      <c r="AY1" s="108"/>
      <c r="AZ1" s="106" t="s">
        <v>449</v>
      </c>
      <c r="BA1" s="108"/>
      <c r="BB1" s="106" t="s">
        <v>450</v>
      </c>
      <c r="BC1" s="108"/>
      <c r="BD1" s="106" t="s">
        <v>451</v>
      </c>
      <c r="BE1" s="108"/>
      <c r="BF1" s="106" t="s">
        <v>452</v>
      </c>
      <c r="BG1" s="108"/>
      <c r="BH1" s="106" t="s">
        <v>453</v>
      </c>
      <c r="BI1" s="108"/>
      <c r="BJ1" s="106" t="s">
        <v>454</v>
      </c>
      <c r="BK1" s="108"/>
      <c r="BL1" s="106" t="s">
        <v>455</v>
      </c>
      <c r="BM1" s="108"/>
      <c r="BN1" s="106" t="s">
        <v>456</v>
      </c>
      <c r="BO1" s="108"/>
      <c r="BP1" s="106" t="s">
        <v>457</v>
      </c>
      <c r="BQ1" s="108"/>
      <c r="BR1" s="106" t="s">
        <v>458</v>
      </c>
      <c r="BS1" s="108"/>
      <c r="BT1" s="106" t="s">
        <v>459</v>
      </c>
      <c r="BU1" s="108"/>
      <c r="BV1" s="106" t="s">
        <v>460</v>
      </c>
      <c r="BW1" s="108"/>
      <c r="BX1" s="106" t="s">
        <v>461</v>
      </c>
      <c r="BY1" s="108"/>
      <c r="BZ1" s="106" t="s">
        <v>462</v>
      </c>
      <c r="CA1" s="108"/>
      <c r="CB1" s="106" t="s">
        <v>463</v>
      </c>
      <c r="CC1" s="108"/>
      <c r="CD1" s="106" t="s">
        <v>464</v>
      </c>
      <c r="CE1" s="108"/>
      <c r="CF1" s="106" t="s">
        <v>465</v>
      </c>
      <c r="CG1" s="108"/>
      <c r="CH1" s="106" t="s">
        <v>466</v>
      </c>
      <c r="CI1" s="108"/>
      <c r="CJ1" s="106" t="s">
        <v>467</v>
      </c>
      <c r="CK1" s="108"/>
      <c r="CL1" s="106" t="s">
        <v>468</v>
      </c>
      <c r="CM1" s="108"/>
      <c r="CN1" s="106" t="s">
        <v>469</v>
      </c>
      <c r="CO1" s="108"/>
      <c r="CP1" s="106" t="s">
        <v>470</v>
      </c>
      <c r="CQ1" s="108"/>
      <c r="CR1" s="106" t="s">
        <v>471</v>
      </c>
      <c r="CS1" s="108"/>
      <c r="CT1" s="106" t="s">
        <v>472</v>
      </c>
      <c r="CU1" s="108"/>
      <c r="CV1" s="106" t="s">
        <v>473</v>
      </c>
      <c r="CW1" s="108"/>
      <c r="CX1" s="106" t="s">
        <v>474</v>
      </c>
      <c r="CY1" s="108"/>
      <c r="CZ1" s="106" t="s">
        <v>475</v>
      </c>
      <c r="DA1" s="108"/>
      <c r="DB1" s="106" t="s">
        <v>476</v>
      </c>
      <c r="DC1" s="108"/>
      <c r="DD1" s="106" t="s">
        <v>477</v>
      </c>
      <c r="DE1" s="108"/>
    </row>
    <row r="2" spans="1:109" ht="29.4" thickBot="1" x14ac:dyDescent="0.35">
      <c r="A2" s="35" t="s">
        <v>422</v>
      </c>
      <c r="B2" s="97" t="s">
        <v>531</v>
      </c>
      <c r="C2" s="37" t="s">
        <v>533</v>
      </c>
      <c r="D2" s="41"/>
      <c r="E2" s="41"/>
      <c r="F2" s="41"/>
      <c r="G2" s="11"/>
      <c r="H2" s="115">
        <v>45974</v>
      </c>
      <c r="I2" s="111"/>
      <c r="J2" s="115">
        <f>WORKDAY.INTL(H2,1,"0010000")</f>
        <v>45975</v>
      </c>
      <c r="K2" s="111"/>
      <c r="L2" s="115">
        <f>WORKDAY.INTL(J2,1,"0010000")</f>
        <v>45976</v>
      </c>
      <c r="M2" s="111"/>
      <c r="N2" s="115">
        <f>WORKDAY.INTL(L2,1,"0010000")</f>
        <v>45977</v>
      </c>
      <c r="O2" s="111"/>
      <c r="P2" s="115">
        <f>WORKDAY.INTL(N2,1,"0010000")</f>
        <v>45978</v>
      </c>
      <c r="Q2" s="111"/>
      <c r="R2" s="115">
        <f>WORKDAY.INTL(P2,1,"0010000")</f>
        <v>45979</v>
      </c>
      <c r="S2" s="111"/>
      <c r="T2" s="115">
        <f>WORKDAY.INTL(R2,1,"0010000")</f>
        <v>45981</v>
      </c>
      <c r="U2" s="111"/>
      <c r="V2" s="115">
        <f>WORKDAY.INTL(T2,1,"0010000")</f>
        <v>45982</v>
      </c>
      <c r="W2" s="111"/>
      <c r="X2" s="115">
        <f>WORKDAY.INTL(V2,1,"0010000")</f>
        <v>45983</v>
      </c>
      <c r="Y2" s="111"/>
      <c r="Z2" s="115">
        <f>WORKDAY.INTL(X2,1,"0010000")</f>
        <v>45984</v>
      </c>
      <c r="AA2" s="111"/>
      <c r="AB2" s="115">
        <f>WORKDAY.INTL(Z2,1,"0010000")</f>
        <v>45985</v>
      </c>
      <c r="AC2" s="111"/>
      <c r="AD2" s="115">
        <f>WORKDAY.INTL(AB2,1,"0010000")</f>
        <v>45986</v>
      </c>
      <c r="AE2" s="111"/>
      <c r="AF2" s="115">
        <f>WORKDAY.INTL(AD2,1,"0010000")</f>
        <v>45988</v>
      </c>
      <c r="AG2" s="111"/>
      <c r="AH2" s="115">
        <f>WORKDAY.INTL(AF2,1,"0010000")</f>
        <v>45989</v>
      </c>
      <c r="AI2" s="111"/>
      <c r="AJ2" s="115">
        <f>WORKDAY.INTL(AH2,1,"0010000")</f>
        <v>45990</v>
      </c>
      <c r="AK2" s="111"/>
      <c r="AL2" s="115">
        <f>WORKDAY.INTL(AJ2,1,"0010000")</f>
        <v>45991</v>
      </c>
      <c r="AM2" s="111"/>
      <c r="AN2" s="115">
        <f>WORKDAY.INTL(AL2,1,"0010000")</f>
        <v>45992</v>
      </c>
      <c r="AO2" s="111"/>
      <c r="AP2" s="115">
        <f>WORKDAY.INTL(AN2,1,"0010000")</f>
        <v>45993</v>
      </c>
      <c r="AQ2" s="111"/>
      <c r="AR2" s="115">
        <f>WORKDAY.INTL(AP2,1,"0010000")</f>
        <v>45995</v>
      </c>
      <c r="AS2" s="111"/>
      <c r="AT2" s="115">
        <f>WORKDAY.INTL(AR2,1,"0010000")</f>
        <v>45996</v>
      </c>
      <c r="AU2" s="111"/>
      <c r="AV2" s="115">
        <f>WORKDAY.INTL(AT2,1,"0010000")</f>
        <v>45997</v>
      </c>
      <c r="AW2" s="111"/>
      <c r="AX2" s="115">
        <f>WORKDAY.INTL(AV2,1,"0010000")</f>
        <v>45998</v>
      </c>
      <c r="AY2" s="111"/>
      <c r="AZ2" s="115">
        <f>WORKDAY.INTL(AX2,1,"0010000")</f>
        <v>45999</v>
      </c>
      <c r="BA2" s="111"/>
      <c r="BB2" s="115">
        <f>WORKDAY.INTL(AZ2,1,"0010000")</f>
        <v>46000</v>
      </c>
      <c r="BC2" s="111"/>
      <c r="BD2" s="115">
        <f>WORKDAY.INTL(BB2,1,"0010000")</f>
        <v>46002</v>
      </c>
      <c r="BE2" s="111"/>
      <c r="BF2" s="115">
        <f>WORKDAY.INTL(BD2,1,"0010000")</f>
        <v>46003</v>
      </c>
      <c r="BG2" s="111"/>
      <c r="BH2" s="115">
        <f>WORKDAY.INTL(BF2,1,"0010000")</f>
        <v>46004</v>
      </c>
      <c r="BI2" s="111"/>
      <c r="BJ2" s="115">
        <f>WORKDAY.INTL(BH2,1,"0010000")</f>
        <v>46005</v>
      </c>
      <c r="BK2" s="111"/>
      <c r="BL2" s="115">
        <f>WORKDAY.INTL(BJ2,1,"0010000")</f>
        <v>46006</v>
      </c>
      <c r="BM2" s="111"/>
      <c r="BN2" s="115">
        <f>WORKDAY.INTL(BL2,1,"0010000")</f>
        <v>46007</v>
      </c>
      <c r="BO2" s="111"/>
      <c r="BP2" s="115">
        <f>WORKDAY.INTL(BN2,1,"0010000")</f>
        <v>46009</v>
      </c>
      <c r="BQ2" s="111"/>
      <c r="BR2" s="115">
        <f>WORKDAY.INTL(BP2,1,"0010000")</f>
        <v>46010</v>
      </c>
      <c r="BS2" s="111"/>
      <c r="BT2" s="115">
        <f>WORKDAY.INTL(BR2,1,"0010000")</f>
        <v>46011</v>
      </c>
      <c r="BU2" s="111"/>
      <c r="BV2" s="115">
        <f>WORKDAY.INTL(BT2,1,"0010000")</f>
        <v>46012</v>
      </c>
      <c r="BW2" s="111"/>
      <c r="BX2" s="115">
        <f>WORKDAY.INTL(BV2,1,"0010000")</f>
        <v>46013</v>
      </c>
      <c r="BY2" s="111"/>
      <c r="BZ2" s="115">
        <f>WORKDAY.INTL(BX2,1,"0010000")</f>
        <v>46014</v>
      </c>
      <c r="CA2" s="111"/>
      <c r="CB2" s="115">
        <f>WORKDAY.INTL(BZ2,1,"0010000")</f>
        <v>46016</v>
      </c>
      <c r="CC2" s="111"/>
      <c r="CD2" s="115">
        <f>WORKDAY.INTL(CB2,1,"0010000")</f>
        <v>46017</v>
      </c>
      <c r="CE2" s="111"/>
      <c r="CF2" s="115">
        <f>WORKDAY.INTL(CD2,1,"0010000")</f>
        <v>46018</v>
      </c>
      <c r="CG2" s="111"/>
      <c r="CH2" s="115">
        <f>WORKDAY.INTL(CF2,1,"0010000")</f>
        <v>46019</v>
      </c>
      <c r="CI2" s="111"/>
      <c r="CJ2" s="115">
        <f>WORKDAY.INTL(CH2,1,"0010000")</f>
        <v>46020</v>
      </c>
      <c r="CK2" s="111"/>
      <c r="CL2" s="115">
        <f>WORKDAY.INTL(CJ2,1,"0010000")</f>
        <v>46021</v>
      </c>
      <c r="CM2" s="111"/>
      <c r="CN2" s="115">
        <f>WORKDAY.INTL(CL2,1,"0010000")</f>
        <v>46023</v>
      </c>
      <c r="CO2" s="111"/>
      <c r="CP2" s="115">
        <f>WORKDAY.INTL(CN2,1,"0010000")</f>
        <v>46024</v>
      </c>
      <c r="CQ2" s="111"/>
      <c r="CR2" s="115">
        <f>WORKDAY.INTL(CP2,1,"0010000")</f>
        <v>46025</v>
      </c>
      <c r="CS2" s="111"/>
      <c r="CT2" s="115">
        <f>WORKDAY.INTL(CR2,1,"0010000")</f>
        <v>46026</v>
      </c>
      <c r="CU2" s="111"/>
      <c r="CV2" s="115">
        <f>WORKDAY.INTL(CT2,1,"0010000")</f>
        <v>46027</v>
      </c>
      <c r="CW2" s="111"/>
      <c r="CX2" s="115">
        <f>WORKDAY.INTL(CV2,1,"0010000")</f>
        <v>46028</v>
      </c>
      <c r="CY2" s="111"/>
      <c r="CZ2" s="115">
        <f>WORKDAY.INTL(CX2,1,"0010000")</f>
        <v>46030</v>
      </c>
      <c r="DA2" s="111"/>
      <c r="DB2" s="115">
        <f>WORKDAY.INTL(CZ2,1,"0010000")</f>
        <v>46031</v>
      </c>
      <c r="DC2" s="111"/>
      <c r="DD2" s="115">
        <f>WORKDAY.INTL(DB2,1,"0010000")</f>
        <v>46032</v>
      </c>
      <c r="DE2" s="111"/>
    </row>
    <row r="3" spans="1:109" s="17" customFormat="1" ht="30" customHeight="1" x14ac:dyDescent="0.3">
      <c r="A3" s="38" t="s">
        <v>186</v>
      </c>
      <c r="B3" s="39" t="s">
        <v>319</v>
      </c>
      <c r="C3" s="40" t="s">
        <v>419</v>
      </c>
      <c r="D3" s="101" t="s">
        <v>420</v>
      </c>
      <c r="E3" s="40" t="s">
        <v>421</v>
      </c>
      <c r="F3" s="38" t="s">
        <v>423</v>
      </c>
      <c r="G3" s="43" t="s">
        <v>424</v>
      </c>
      <c r="H3" s="30" t="s">
        <v>425</v>
      </c>
      <c r="I3" s="31" t="s">
        <v>426</v>
      </c>
      <c r="J3" s="30" t="s">
        <v>425</v>
      </c>
      <c r="K3" s="31" t="s">
        <v>426</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row>
    <row r="4" spans="1:109" x14ac:dyDescent="0.3">
      <c r="A4" s="2" t="s">
        <v>155</v>
      </c>
      <c r="B4" s="3" t="str">
        <f>_xlfn.XLOOKUP(A4,'Raw Material Requirement'!$A$4:$A$28,'Raw Material Requirement'!$B$4:$B$28)</f>
        <v>Black</v>
      </c>
      <c r="C4" s="6">
        <f>_xlfn.XLOOKUP(A4,'Raw Material Requirement'!$A$4:$A$28,'Raw Material Requirement'!$D$4:$D$28)</f>
        <v>218400</v>
      </c>
      <c r="D4" s="32" cm="1">
        <f t="array" ref="D4">SUMPRODUCT((MOD(COLUMN($I4:$FN4)-COLUMN($I4),2)=0)*($I4:$FN4))</f>
        <v>0</v>
      </c>
      <c r="E4" s="6">
        <f t="shared" ref="E4:E19" si="0">C4-D4</f>
        <v>218400</v>
      </c>
      <c r="F4" s="42">
        <f>'Mold Daily Output'!$F$19</f>
        <v>27456</v>
      </c>
      <c r="G4" s="44">
        <f>E4/F4</f>
        <v>7.9545454545454541</v>
      </c>
      <c r="H4" s="2">
        <v>27456</v>
      </c>
      <c r="I4" s="6"/>
      <c r="J4" s="2">
        <v>27456</v>
      </c>
      <c r="K4" s="6"/>
      <c r="L4" s="2">
        <v>27456</v>
      </c>
      <c r="M4" s="6"/>
      <c r="N4" s="2">
        <v>27456</v>
      </c>
      <c r="O4" s="6"/>
      <c r="P4" s="2">
        <v>27456</v>
      </c>
      <c r="Q4" s="6"/>
      <c r="R4" s="2">
        <v>27456</v>
      </c>
      <c r="S4" s="6"/>
      <c r="T4" s="2">
        <v>27456</v>
      </c>
      <c r="U4" s="6"/>
      <c r="V4" s="2">
        <v>26208</v>
      </c>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row>
    <row r="5" spans="1:109" x14ac:dyDescent="0.3">
      <c r="A5" s="2" t="s">
        <v>157</v>
      </c>
      <c r="B5" s="3" t="str">
        <f>_xlfn.XLOOKUP(A5,'Raw Material Requirement'!$A$4:$A$28,'Raw Material Requirement'!$B$4:$B$28)</f>
        <v>Red</v>
      </c>
      <c r="C5" s="6">
        <f>_xlfn.XLOOKUP(A5,'Raw Material Requirement'!$A$4:$A$28,'Raw Material Requirement'!$D$4:$D$28)</f>
        <v>151200</v>
      </c>
      <c r="D5" s="32" cm="1">
        <f t="array" ref="D5">SUMPRODUCT((MOD(COLUMN($I5:$FN5)-COLUMN($I5),2)=0)*($I5:$FN5))</f>
        <v>0</v>
      </c>
      <c r="E5" s="6">
        <f t="shared" si="0"/>
        <v>151200</v>
      </c>
      <c r="F5" s="42">
        <f>'Mold Daily Output'!$F$19</f>
        <v>27456</v>
      </c>
      <c r="G5" s="44">
        <f t="shared" ref="G5:G11" si="1">E5/F5</f>
        <v>5.5069930069930066</v>
      </c>
      <c r="H5" s="2"/>
      <c r="I5" s="6"/>
      <c r="J5" s="2"/>
      <c r="K5" s="6"/>
      <c r="L5" s="2"/>
      <c r="M5" s="6"/>
      <c r="N5" s="2"/>
      <c r="O5" s="6"/>
      <c r="P5" s="2"/>
      <c r="Q5" s="6"/>
      <c r="R5" s="2"/>
      <c r="S5" s="6"/>
      <c r="T5" s="2"/>
      <c r="U5" s="6"/>
      <c r="V5" s="2"/>
      <c r="W5" s="6"/>
      <c r="X5" s="2">
        <v>27456</v>
      </c>
      <c r="Y5" s="6"/>
      <c r="Z5" s="2">
        <v>27456</v>
      </c>
      <c r="AA5" s="6"/>
      <c r="AB5" s="2">
        <v>27456</v>
      </c>
      <c r="AC5" s="6"/>
      <c r="AD5" s="2">
        <v>27456</v>
      </c>
      <c r="AE5" s="6"/>
      <c r="AF5" s="2">
        <v>27456</v>
      </c>
      <c r="AG5" s="6"/>
      <c r="AH5" s="2">
        <v>13920</v>
      </c>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row>
    <row r="6" spans="1:109" x14ac:dyDescent="0.3">
      <c r="A6" s="2" t="s">
        <v>159</v>
      </c>
      <c r="B6" s="3" t="str">
        <f>_xlfn.XLOOKUP(A6,'Raw Material Requirement'!$A$4:$A$28,'Raw Material Requirement'!$B$4:$B$28)</f>
        <v>White</v>
      </c>
      <c r="C6" s="6">
        <f>_xlfn.XLOOKUP(A6,'Raw Material Requirement'!$A$4:$A$28,'Raw Material Requirement'!$D$4:$D$28)</f>
        <v>134400</v>
      </c>
      <c r="D6" s="32" cm="1">
        <f t="array" ref="D6">SUMPRODUCT((MOD(COLUMN($I6:$FN6)-COLUMN($I6),2)=0)*($I6:$FN6))</f>
        <v>0</v>
      </c>
      <c r="E6" s="6">
        <f t="shared" si="0"/>
        <v>134400</v>
      </c>
      <c r="F6" s="42">
        <f>'Mold Daily Output'!$F$19</f>
        <v>27456</v>
      </c>
      <c r="G6" s="44">
        <f t="shared" si="1"/>
        <v>4.895104895104895</v>
      </c>
      <c r="H6" s="2"/>
      <c r="I6" s="6"/>
      <c r="J6" s="2"/>
      <c r="K6" s="6"/>
      <c r="L6" s="2"/>
      <c r="M6" s="6"/>
      <c r="N6" s="2"/>
      <c r="O6" s="6"/>
      <c r="P6" s="2"/>
      <c r="Q6" s="6"/>
      <c r="R6" s="2"/>
      <c r="S6" s="6"/>
      <c r="T6" s="2"/>
      <c r="U6" s="6"/>
      <c r="V6" s="2"/>
      <c r="W6" s="6"/>
      <c r="X6" s="2"/>
      <c r="Y6" s="6"/>
      <c r="Z6" s="2"/>
      <c r="AA6" s="6"/>
      <c r="AB6" s="2"/>
      <c r="AC6" s="6"/>
      <c r="AD6" s="2"/>
      <c r="AE6" s="6"/>
      <c r="AF6" s="2"/>
      <c r="AG6" s="6"/>
      <c r="AH6" s="2"/>
      <c r="AI6" s="6"/>
      <c r="AJ6" s="2">
        <v>27456</v>
      </c>
      <c r="AK6" s="6"/>
      <c r="AL6" s="2">
        <v>27456</v>
      </c>
      <c r="AM6" s="6"/>
      <c r="AN6" s="2">
        <v>27456</v>
      </c>
      <c r="AO6" s="6"/>
      <c r="AP6" s="2">
        <v>27456</v>
      </c>
      <c r="AQ6" s="6"/>
      <c r="AR6" s="2">
        <v>24576</v>
      </c>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row>
    <row r="7" spans="1:109" x14ac:dyDescent="0.3">
      <c r="A7" s="2" t="s">
        <v>125</v>
      </c>
      <c r="B7" s="3" t="str">
        <f>_xlfn.XLOOKUP(A7,'Raw Material Requirement'!$A$4:$A$28,'Raw Material Requirement'!$B$4:$B$28)</f>
        <v>Clear</v>
      </c>
      <c r="C7" s="6">
        <f>_xlfn.XLOOKUP(A7,'Raw Material Requirement'!$A$4:$A$28,'Raw Material Requirement'!$J$4:$J$28)</f>
        <v>117600</v>
      </c>
      <c r="D7" s="32" cm="1">
        <f t="array" ref="D7">SUMPRODUCT((MOD(COLUMN($I7:$FN7)-COLUMN($I7),2)=0)*($I7:$FN7))</f>
        <v>0</v>
      </c>
      <c r="E7" s="6">
        <f t="shared" si="0"/>
        <v>117600</v>
      </c>
      <c r="F7" s="42">
        <f>'Mold Daily Output'!$F$19</f>
        <v>27456</v>
      </c>
      <c r="G7" s="44">
        <f t="shared" si="1"/>
        <v>4.2832167832167833</v>
      </c>
      <c r="H7" s="2"/>
      <c r="I7" s="6"/>
      <c r="J7" s="2"/>
      <c r="K7" s="6"/>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v>27456</v>
      </c>
      <c r="AU7" s="6"/>
      <c r="AV7" s="2">
        <v>27456</v>
      </c>
      <c r="AW7" s="6"/>
      <c r="AX7" s="2">
        <v>27456</v>
      </c>
      <c r="AY7" s="6"/>
      <c r="AZ7" s="2">
        <v>27456</v>
      </c>
      <c r="BA7" s="6"/>
      <c r="BB7" s="2">
        <v>7776</v>
      </c>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row>
    <row r="8" spans="1:109" x14ac:dyDescent="0.3">
      <c r="A8" s="2" t="s">
        <v>156</v>
      </c>
      <c r="B8" s="3" t="str">
        <f>_xlfn.XLOOKUP(A8,'Raw Material Requirement'!$A$4:$A$28,'Raw Material Requirement'!$B$4:$B$28)</f>
        <v>Navy</v>
      </c>
      <c r="C8" s="6">
        <f>_xlfn.XLOOKUP(A8,'Raw Material Requirement'!$A$4:$A$28,'Raw Material Requirement'!$D$4:$D$28)</f>
        <v>100800</v>
      </c>
      <c r="D8" s="32" cm="1">
        <f t="array" ref="D8">SUMPRODUCT((MOD(COLUMN($I8:$FN8)-COLUMN($I8),2)=0)*($I8:$FN8))</f>
        <v>0</v>
      </c>
      <c r="E8" s="6">
        <f t="shared" si="0"/>
        <v>100800</v>
      </c>
      <c r="F8" s="42">
        <f>'Mold Daily Output'!$F$19</f>
        <v>27456</v>
      </c>
      <c r="G8" s="44">
        <f t="shared" si="1"/>
        <v>3.6713286713286712</v>
      </c>
      <c r="H8" s="2"/>
      <c r="I8" s="6"/>
      <c r="J8" s="2"/>
      <c r="K8" s="6"/>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v>27456</v>
      </c>
      <c r="BE8" s="6"/>
      <c r="BF8" s="2">
        <v>27456</v>
      </c>
      <c r="BG8" s="6"/>
      <c r="BH8" s="2">
        <v>27456</v>
      </c>
      <c r="BI8" s="6"/>
      <c r="BJ8" s="2">
        <v>18432</v>
      </c>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row>
    <row r="9" spans="1:109" x14ac:dyDescent="0.3">
      <c r="A9" s="2" t="s">
        <v>158</v>
      </c>
      <c r="B9" s="3" t="str">
        <f>_xlfn.XLOOKUP(A9,'Raw Material Requirement'!$A$4:$A$28,'Raw Material Requirement'!$B$4:$B$28)</f>
        <v>Royal</v>
      </c>
      <c r="C9" s="6">
        <f>_xlfn.XLOOKUP(A9,'Raw Material Requirement'!$A$4:$A$28,'Raw Material Requirement'!$D$4:$D$28)</f>
        <v>100800</v>
      </c>
      <c r="D9" s="32" cm="1">
        <f t="array" ref="D9">SUMPRODUCT((MOD(COLUMN($I9:$FN9)-COLUMN($I9),2)=0)*($I9:$FN9))</f>
        <v>0</v>
      </c>
      <c r="E9" s="6">
        <f t="shared" si="0"/>
        <v>100800</v>
      </c>
      <c r="F9" s="42">
        <f>'Mold Daily Output'!$F$19</f>
        <v>27456</v>
      </c>
      <c r="G9" s="44">
        <f t="shared" si="1"/>
        <v>3.6713286713286712</v>
      </c>
      <c r="H9" s="2"/>
      <c r="I9" s="6"/>
      <c r="J9" s="2"/>
      <c r="K9" s="6"/>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v>6000</v>
      </c>
      <c r="BK9" s="6"/>
      <c r="BL9" s="2">
        <v>27456</v>
      </c>
      <c r="BM9" s="6"/>
      <c r="BN9" s="2">
        <v>27456</v>
      </c>
      <c r="BO9" s="6"/>
      <c r="BP9" s="2">
        <v>27456</v>
      </c>
      <c r="BQ9" s="6"/>
      <c r="BR9" s="2">
        <v>12432</v>
      </c>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row>
    <row r="10" spans="1:109" x14ac:dyDescent="0.3">
      <c r="A10" s="2" t="s">
        <v>160</v>
      </c>
      <c r="B10" s="3" t="str">
        <f>_xlfn.XLOOKUP(A10,'Raw Material Requirement'!$A$4:$A$28,'Raw Material Requirement'!$B$4:$B$28)</f>
        <v>Blue</v>
      </c>
      <c r="C10" s="6">
        <f>_xlfn.XLOOKUP(A10,'Raw Material Requirement'!$A$4:$A$28,'Raw Material Requirement'!$D$4:$D$28)</f>
        <v>50400</v>
      </c>
      <c r="D10" s="32" cm="1">
        <f t="array" ref="D10">SUMPRODUCT((MOD(COLUMN($I10:$FN10)-COLUMN($I10),2)=0)*($I10:$FN10))</f>
        <v>0</v>
      </c>
      <c r="E10" s="6">
        <f t="shared" si="0"/>
        <v>50400</v>
      </c>
      <c r="F10" s="42">
        <f>'Mold Daily Output'!$F$19</f>
        <v>27456</v>
      </c>
      <c r="G10" s="44">
        <f t="shared" si="1"/>
        <v>1.8356643356643356</v>
      </c>
      <c r="H10" s="2"/>
      <c r="I10" s="6"/>
      <c r="J10" s="2"/>
      <c r="K10" s="6"/>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v>12000</v>
      </c>
      <c r="BS10" s="6"/>
      <c r="BT10" s="2">
        <v>27456</v>
      </c>
      <c r="BU10" s="6"/>
      <c r="BV10" s="2">
        <v>10944</v>
      </c>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row>
    <row r="11" spans="1:109" ht="15" thickBot="1" x14ac:dyDescent="0.35">
      <c r="A11" s="2" t="s">
        <v>163</v>
      </c>
      <c r="B11" s="3" t="str">
        <f>_xlfn.XLOOKUP(A11,'Raw Material Requirement'!$A$4:$A$28,'Raw Material Requirement'!$B$4:$B$28)</f>
        <v>Red</v>
      </c>
      <c r="C11" s="6">
        <f>_xlfn.XLOOKUP(A11,'Raw Material Requirement'!$A$4:$A$28,'Raw Material Requirement'!$D$4:$D$28)</f>
        <v>33600</v>
      </c>
      <c r="D11" s="32" cm="1">
        <f t="array" ref="D11">SUMPRODUCT((MOD(COLUMN($I11:$FN11)-COLUMN($I11),2)=0)*($I11:$FN11))</f>
        <v>0</v>
      </c>
      <c r="E11" s="7">
        <f t="shared" si="0"/>
        <v>33600</v>
      </c>
      <c r="F11" s="42">
        <f>'Mold Daily Output'!$F$19</f>
        <v>27456</v>
      </c>
      <c r="G11" s="45">
        <f t="shared" si="1"/>
        <v>1.2237762237762237</v>
      </c>
      <c r="H11" s="4"/>
      <c r="I11" s="7"/>
      <c r="J11" s="4"/>
      <c r="K11" s="7"/>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v>6144</v>
      </c>
      <c r="BW11" s="7"/>
      <c r="BX11" s="4">
        <v>27456</v>
      </c>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row>
    <row r="12" spans="1:109" x14ac:dyDescent="0.3">
      <c r="A12" s="2" t="s">
        <v>161</v>
      </c>
      <c r="B12" s="3" t="str">
        <f>_xlfn.XLOOKUP(A12,'Raw Material Requirement'!$A$4:$A$28,'Raw Material Requirement'!$B$4:$B$28)</f>
        <v>Lime</v>
      </c>
      <c r="C12" s="6">
        <f>_xlfn.XLOOKUP(A12,'Raw Material Requirement'!$A$4:$A$28,'Raw Material Requirement'!$D$4:$D$28)</f>
        <v>25200</v>
      </c>
      <c r="D12" s="32" cm="1">
        <f t="array" ref="D12">SUMPRODUCT((MOD(COLUMN($I12:$FN12)-COLUMN($I12),2)=0)*($I12:$FN12))</f>
        <v>0</v>
      </c>
      <c r="E12" s="6">
        <f t="shared" si="0"/>
        <v>25200</v>
      </c>
      <c r="F12" s="42">
        <f>'Mold Daily Output'!$F$19</f>
        <v>27456</v>
      </c>
      <c r="G12" s="44">
        <f t="shared" ref="G12:G19" si="2">E12/F12</f>
        <v>0.91783216783216781</v>
      </c>
      <c r="H12" s="2"/>
      <c r="I12" s="6"/>
      <c r="J12" s="2"/>
      <c r="K12" s="6"/>
      <c r="L12" s="2"/>
      <c r="M12" s="6"/>
      <c r="N12" s="2"/>
      <c r="O12" s="6"/>
      <c r="P12" s="2"/>
      <c r="Q12" s="6"/>
      <c r="R12" s="2"/>
      <c r="S12" s="6"/>
      <c r="T12" s="2"/>
      <c r="U12" s="6"/>
      <c r="V12" s="2"/>
      <c r="W12" s="6"/>
      <c r="X12" s="2"/>
      <c r="Y12" s="6"/>
      <c r="Z12" s="2"/>
      <c r="AA12" s="6"/>
      <c r="AB12" s="2"/>
      <c r="AC12" s="6"/>
      <c r="AD12" s="2"/>
      <c r="AE12" s="6"/>
      <c r="AF12" s="2"/>
      <c r="AG12" s="6"/>
      <c r="AH12" s="2"/>
      <c r="AI12" s="6"/>
      <c r="AJ12" s="2"/>
      <c r="AK12" s="6"/>
      <c r="AL12" s="2"/>
      <c r="AM12" s="6"/>
      <c r="AN12" s="2"/>
      <c r="AO12" s="6"/>
      <c r="AP12" s="2"/>
      <c r="AQ12" s="6"/>
      <c r="AR12" s="2"/>
      <c r="AS12" s="6"/>
      <c r="AT12" s="2"/>
      <c r="AU12" s="6"/>
      <c r="AV12" s="2"/>
      <c r="AW12" s="6"/>
      <c r="AX12" s="2"/>
      <c r="AY12" s="6"/>
      <c r="AZ12" s="2"/>
      <c r="BA12" s="6"/>
      <c r="BB12" s="2"/>
      <c r="BC12" s="6"/>
      <c r="BD12" s="2"/>
      <c r="BE12" s="6"/>
      <c r="BF12" s="2"/>
      <c r="BG12" s="6"/>
      <c r="BH12" s="2"/>
      <c r="BI12" s="6"/>
      <c r="BJ12" s="2"/>
      <c r="BK12" s="6"/>
      <c r="BL12" s="2"/>
      <c r="BM12" s="6"/>
      <c r="BN12" s="2"/>
      <c r="BO12" s="6"/>
      <c r="BP12" s="2"/>
      <c r="BQ12" s="6"/>
      <c r="BR12" s="2"/>
      <c r="BS12" s="6"/>
      <c r="BT12" s="2"/>
      <c r="BU12" s="6"/>
      <c r="BV12" s="2"/>
      <c r="BW12" s="6"/>
      <c r="BX12" s="2"/>
      <c r="BY12" s="6"/>
      <c r="BZ12" s="2">
        <v>25200</v>
      </c>
      <c r="CA12" s="6"/>
      <c r="CB12" s="2"/>
      <c r="CC12" s="6"/>
      <c r="CD12" s="2"/>
      <c r="CE12" s="6"/>
      <c r="CF12" s="2"/>
      <c r="CG12" s="6"/>
      <c r="CH12" s="2"/>
      <c r="CI12" s="6"/>
      <c r="CJ12" s="2"/>
      <c r="CK12" s="6"/>
      <c r="CL12" s="2"/>
      <c r="CM12" s="6"/>
      <c r="CN12" s="2"/>
      <c r="CO12" s="6"/>
      <c r="CP12" s="2"/>
      <c r="CQ12" s="6"/>
      <c r="CR12" s="2"/>
      <c r="CS12" s="6"/>
      <c r="CT12" s="2"/>
      <c r="CU12" s="6"/>
      <c r="CV12" s="2"/>
      <c r="CW12" s="6"/>
      <c r="CX12" s="2"/>
      <c r="CY12" s="6"/>
      <c r="CZ12" s="2"/>
      <c r="DA12" s="6"/>
      <c r="DB12" s="2"/>
      <c r="DC12" s="6"/>
      <c r="DD12" s="2"/>
      <c r="DE12" s="6"/>
    </row>
    <row r="13" spans="1:109" x14ac:dyDescent="0.3">
      <c r="A13" s="2" t="s">
        <v>162</v>
      </c>
      <c r="B13" s="3" t="str">
        <f>_xlfn.XLOOKUP(A13,'Raw Material Requirement'!$A$4:$A$28,'Raw Material Requirement'!$B$4:$B$28)</f>
        <v>Orange</v>
      </c>
      <c r="C13" s="6">
        <f>_xlfn.XLOOKUP(A13,'Raw Material Requirement'!$A$4:$A$28,'Raw Material Requirement'!$D$4:$D$28)</f>
        <v>25200</v>
      </c>
      <c r="D13" s="32" cm="1">
        <f t="array" ref="D13">SUMPRODUCT((MOD(COLUMN($I13:$FN13)-COLUMN($I13),2)=0)*($I13:$FN13))</f>
        <v>0</v>
      </c>
      <c r="E13" s="6">
        <f t="shared" si="0"/>
        <v>25200</v>
      </c>
      <c r="F13" s="42">
        <f>'Mold Daily Output'!$F$19</f>
        <v>27456</v>
      </c>
      <c r="G13" s="44">
        <f t="shared" si="2"/>
        <v>0.91783216783216781</v>
      </c>
      <c r="H13" s="2"/>
      <c r="I13" s="6"/>
      <c r="J13" s="2"/>
      <c r="K13" s="6"/>
      <c r="L13" s="2"/>
      <c r="M13" s="6"/>
      <c r="N13" s="2"/>
      <c r="O13" s="6"/>
      <c r="P13" s="2"/>
      <c r="Q13" s="6"/>
      <c r="R13" s="2"/>
      <c r="S13" s="6"/>
      <c r="T13" s="2"/>
      <c r="U13" s="6"/>
      <c r="V13" s="2"/>
      <c r="W13" s="6"/>
      <c r="X13" s="2"/>
      <c r="Y13" s="6"/>
      <c r="Z13" s="2"/>
      <c r="AA13" s="6"/>
      <c r="AB13" s="2"/>
      <c r="AC13" s="6"/>
      <c r="AD13" s="2"/>
      <c r="AE13" s="6"/>
      <c r="AF13" s="2"/>
      <c r="AG13" s="6"/>
      <c r="AH13" s="2"/>
      <c r="AI13" s="6"/>
      <c r="AJ13" s="2"/>
      <c r="AK13" s="6"/>
      <c r="AL13" s="2"/>
      <c r="AM13" s="6"/>
      <c r="AN13" s="2"/>
      <c r="AO13" s="6"/>
      <c r="AP13" s="2"/>
      <c r="AQ13" s="6"/>
      <c r="AR13" s="2"/>
      <c r="AS13" s="6"/>
      <c r="AT13" s="2"/>
      <c r="AU13" s="6"/>
      <c r="AV13" s="2"/>
      <c r="AW13" s="6"/>
      <c r="AX13" s="2"/>
      <c r="AY13" s="6"/>
      <c r="AZ13" s="2"/>
      <c r="BA13" s="6"/>
      <c r="BB13" s="2"/>
      <c r="BC13" s="6"/>
      <c r="BD13" s="2"/>
      <c r="BE13" s="6"/>
      <c r="BF13" s="2"/>
      <c r="BG13" s="6"/>
      <c r="BH13" s="2"/>
      <c r="BI13" s="6"/>
      <c r="BJ13" s="2"/>
      <c r="BK13" s="6"/>
      <c r="BL13" s="2"/>
      <c r="BM13" s="6"/>
      <c r="BN13" s="2"/>
      <c r="BO13" s="6"/>
      <c r="BP13" s="2"/>
      <c r="BQ13" s="6"/>
      <c r="BR13" s="2"/>
      <c r="BS13" s="6"/>
      <c r="BT13" s="2"/>
      <c r="BU13" s="6"/>
      <c r="BV13" s="2"/>
      <c r="BW13" s="6"/>
      <c r="BX13" s="2"/>
      <c r="BY13" s="6"/>
      <c r="BZ13" s="2"/>
      <c r="CA13" s="6"/>
      <c r="CB13" s="2">
        <v>25200</v>
      </c>
      <c r="CC13" s="6"/>
      <c r="CD13" s="2"/>
      <c r="CE13" s="6"/>
      <c r="CF13" s="2"/>
      <c r="CG13" s="6"/>
      <c r="CH13" s="2"/>
      <c r="CI13" s="6"/>
      <c r="CJ13" s="2"/>
      <c r="CK13" s="6"/>
      <c r="CL13" s="2"/>
      <c r="CM13" s="6"/>
      <c r="CN13" s="2"/>
      <c r="CO13" s="6"/>
      <c r="CP13" s="2"/>
      <c r="CQ13" s="6"/>
      <c r="CR13" s="2"/>
      <c r="CS13" s="6"/>
      <c r="CT13" s="2"/>
      <c r="CU13" s="6"/>
      <c r="CV13" s="2"/>
      <c r="CW13" s="6"/>
      <c r="CX13" s="2"/>
      <c r="CY13" s="6"/>
      <c r="CZ13" s="2"/>
      <c r="DA13" s="6"/>
      <c r="DB13" s="2"/>
      <c r="DC13" s="6"/>
      <c r="DD13" s="2"/>
      <c r="DE13" s="6"/>
    </row>
    <row r="14" spans="1:109" x14ac:dyDescent="0.3">
      <c r="A14" s="2" t="s">
        <v>166</v>
      </c>
      <c r="B14" s="3" t="str">
        <f>_xlfn.XLOOKUP(A14,'Raw Material Requirement'!$A$4:$A$28,'Raw Material Requirement'!$B$4:$B$28)</f>
        <v>Light Blue</v>
      </c>
      <c r="C14" s="6">
        <f>_xlfn.XLOOKUP(A14,'Raw Material Requirement'!$A$4:$A$28,'Raw Material Requirement'!$D$4:$D$28)</f>
        <v>25200</v>
      </c>
      <c r="D14" s="32" cm="1">
        <f t="array" ref="D14">SUMPRODUCT((MOD(COLUMN($I14:$FN14)-COLUMN($I14),2)=0)*($I14:$FN14))</f>
        <v>0</v>
      </c>
      <c r="E14" s="6">
        <f t="shared" si="0"/>
        <v>25200</v>
      </c>
      <c r="F14" s="42">
        <f>'Mold Daily Output'!$F$19</f>
        <v>27456</v>
      </c>
      <c r="G14" s="44">
        <f t="shared" si="2"/>
        <v>0.91783216783216781</v>
      </c>
      <c r="H14" s="2"/>
      <c r="I14" s="6"/>
      <c r="J14" s="2"/>
      <c r="K14" s="6"/>
      <c r="L14" s="2"/>
      <c r="M14" s="6"/>
      <c r="N14" s="2"/>
      <c r="O14" s="6"/>
      <c r="P14" s="2"/>
      <c r="Q14" s="6"/>
      <c r="R14" s="2"/>
      <c r="S14" s="6"/>
      <c r="T14" s="2"/>
      <c r="U14" s="6"/>
      <c r="V14" s="2"/>
      <c r="W14" s="6"/>
      <c r="X14" s="2"/>
      <c r="Y14" s="6"/>
      <c r="Z14" s="2"/>
      <c r="AA14" s="6"/>
      <c r="AB14" s="2"/>
      <c r="AC14" s="6"/>
      <c r="AD14" s="2"/>
      <c r="AE14" s="6"/>
      <c r="AF14" s="2"/>
      <c r="AG14" s="6"/>
      <c r="AH14" s="2"/>
      <c r="AI14" s="6"/>
      <c r="AJ14" s="2"/>
      <c r="AK14" s="6"/>
      <c r="AL14" s="2"/>
      <c r="AM14" s="6"/>
      <c r="AN14" s="2"/>
      <c r="AO14" s="6"/>
      <c r="AP14" s="2"/>
      <c r="AQ14" s="6"/>
      <c r="AR14" s="2"/>
      <c r="AS14" s="6"/>
      <c r="AT14" s="2"/>
      <c r="AU14" s="6"/>
      <c r="AV14" s="2"/>
      <c r="AW14" s="6"/>
      <c r="AX14" s="2"/>
      <c r="AY14" s="6"/>
      <c r="AZ14" s="2"/>
      <c r="BA14" s="6"/>
      <c r="BB14" s="2"/>
      <c r="BC14" s="6"/>
      <c r="BD14" s="2"/>
      <c r="BE14" s="6"/>
      <c r="BF14" s="2"/>
      <c r="BG14" s="6"/>
      <c r="BH14" s="2"/>
      <c r="BI14" s="6"/>
      <c r="BJ14" s="2"/>
      <c r="BK14" s="6"/>
      <c r="BL14" s="2"/>
      <c r="BM14" s="6"/>
      <c r="BN14" s="2"/>
      <c r="BO14" s="6"/>
      <c r="BP14" s="2"/>
      <c r="BQ14" s="6"/>
      <c r="BR14" s="2"/>
      <c r="BS14" s="6"/>
      <c r="BT14" s="2"/>
      <c r="BU14" s="6"/>
      <c r="BV14" s="2"/>
      <c r="BW14" s="6"/>
      <c r="BX14" s="2"/>
      <c r="BY14" s="6"/>
      <c r="BZ14" s="2"/>
      <c r="CA14" s="6"/>
      <c r="CB14" s="2"/>
      <c r="CC14" s="6"/>
      <c r="CD14" s="2">
        <v>25200</v>
      </c>
      <c r="CE14" s="6"/>
      <c r="CF14" s="2"/>
      <c r="CG14" s="6"/>
      <c r="CH14" s="2"/>
      <c r="CI14" s="6"/>
      <c r="CJ14" s="2"/>
      <c r="CK14" s="6"/>
      <c r="CL14" s="2"/>
      <c r="CM14" s="6"/>
      <c r="CN14" s="2"/>
      <c r="CO14" s="6"/>
      <c r="CP14" s="2"/>
      <c r="CQ14" s="6"/>
      <c r="CR14" s="2"/>
      <c r="CS14" s="6"/>
      <c r="CT14" s="2"/>
      <c r="CU14" s="6"/>
      <c r="CV14" s="2"/>
      <c r="CW14" s="6"/>
      <c r="CX14" s="2"/>
      <c r="CY14" s="6"/>
      <c r="CZ14" s="2"/>
      <c r="DA14" s="6"/>
      <c r="DB14" s="2"/>
      <c r="DC14" s="6"/>
      <c r="DD14" s="2"/>
      <c r="DE14" s="6"/>
    </row>
    <row r="15" spans="1:109" x14ac:dyDescent="0.3">
      <c r="A15" s="2" t="s">
        <v>165</v>
      </c>
      <c r="B15" s="3" t="str">
        <f>_xlfn.XLOOKUP(A15,'Raw Material Requirement'!$A$4:$A$28,'Raw Material Requirement'!$B$4:$B$28)</f>
        <v>Bright Yellow</v>
      </c>
      <c r="C15" s="6">
        <f>_xlfn.XLOOKUP(A15,'Raw Material Requirement'!$A$4:$A$28,'Raw Material Requirement'!$D$4:$D$28)</f>
        <v>16800</v>
      </c>
      <c r="D15" s="32" cm="1">
        <f t="array" ref="D15">SUMPRODUCT((MOD(COLUMN($I15:$FN15)-COLUMN($I15),2)=0)*($I15:$FN15))</f>
        <v>0</v>
      </c>
      <c r="E15" s="6">
        <f t="shared" si="0"/>
        <v>16800</v>
      </c>
      <c r="F15" s="42">
        <f>'Mold Daily Output'!$F$19</f>
        <v>27456</v>
      </c>
      <c r="G15" s="44">
        <f t="shared" si="2"/>
        <v>0.61188811188811187</v>
      </c>
      <c r="H15" s="2"/>
      <c r="I15" s="6"/>
      <c r="J15" s="2"/>
      <c r="K15" s="6"/>
      <c r="L15" s="2"/>
      <c r="M15" s="6"/>
      <c r="N15" s="2"/>
      <c r="O15" s="6"/>
      <c r="P15" s="2"/>
      <c r="Q15" s="6"/>
      <c r="R15" s="2"/>
      <c r="S15" s="6"/>
      <c r="T15" s="2"/>
      <c r="U15" s="6"/>
      <c r="V15" s="2"/>
      <c r="W15" s="6"/>
      <c r="X15" s="2"/>
      <c r="Y15" s="6"/>
      <c r="Z15" s="2"/>
      <c r="AA15" s="6"/>
      <c r="AB15" s="2"/>
      <c r="AC15" s="6"/>
      <c r="AD15" s="2"/>
      <c r="AE15" s="6"/>
      <c r="AF15" s="2"/>
      <c r="AG15" s="6"/>
      <c r="AH15" s="2"/>
      <c r="AI15" s="6"/>
      <c r="AJ15" s="2"/>
      <c r="AK15" s="6"/>
      <c r="AL15" s="2"/>
      <c r="AM15" s="6"/>
      <c r="AN15" s="2"/>
      <c r="AO15" s="6"/>
      <c r="AP15" s="2"/>
      <c r="AQ15" s="6"/>
      <c r="AR15" s="2"/>
      <c r="AS15" s="6"/>
      <c r="AT15" s="2"/>
      <c r="AU15" s="6"/>
      <c r="AV15" s="2"/>
      <c r="AW15" s="6"/>
      <c r="AX15" s="2"/>
      <c r="AY15" s="6"/>
      <c r="AZ15" s="2"/>
      <c r="BA15" s="6"/>
      <c r="BB15" s="2"/>
      <c r="BC15" s="6"/>
      <c r="BD15" s="2"/>
      <c r="BE15" s="6"/>
      <c r="BF15" s="2"/>
      <c r="BG15" s="6"/>
      <c r="BH15" s="2"/>
      <c r="BI15" s="6"/>
      <c r="BJ15" s="2"/>
      <c r="BK15" s="6"/>
      <c r="BL15" s="2"/>
      <c r="BM15" s="6"/>
      <c r="BN15" s="2"/>
      <c r="BO15" s="6"/>
      <c r="BP15" s="2"/>
      <c r="BQ15" s="6"/>
      <c r="BR15" s="2"/>
      <c r="BS15" s="6"/>
      <c r="BT15" s="2"/>
      <c r="BU15" s="6"/>
      <c r="BV15" s="2"/>
      <c r="BW15" s="6"/>
      <c r="BX15" s="2"/>
      <c r="BY15" s="6"/>
      <c r="BZ15" s="2"/>
      <c r="CA15" s="6"/>
      <c r="CB15" s="2"/>
      <c r="CC15" s="6"/>
      <c r="CD15" s="2"/>
      <c r="CE15" s="6"/>
      <c r="CF15" s="2">
        <v>16800</v>
      </c>
      <c r="CG15" s="6"/>
      <c r="CH15" s="2"/>
      <c r="CI15" s="6"/>
      <c r="CJ15" s="2"/>
      <c r="CK15" s="6"/>
      <c r="CL15" s="2"/>
      <c r="CM15" s="6"/>
      <c r="CN15" s="2"/>
      <c r="CO15" s="6"/>
      <c r="CP15" s="2"/>
      <c r="CQ15" s="6"/>
      <c r="CR15" s="2"/>
      <c r="CS15" s="6"/>
      <c r="CT15" s="2"/>
      <c r="CU15" s="6"/>
      <c r="CV15" s="2"/>
      <c r="CW15" s="6"/>
      <c r="CX15" s="2"/>
      <c r="CY15" s="6"/>
      <c r="CZ15" s="2"/>
      <c r="DA15" s="6"/>
      <c r="DB15" s="2"/>
      <c r="DC15" s="6"/>
      <c r="DD15" s="2"/>
      <c r="DE15" s="6"/>
    </row>
    <row r="16" spans="1:109" x14ac:dyDescent="0.3">
      <c r="A16" s="2" t="s">
        <v>167</v>
      </c>
      <c r="B16" s="3" t="str">
        <f>_xlfn.XLOOKUP(A16,'Raw Material Requirement'!$A$4:$A$28,'Raw Material Requirement'!$B$4:$B$28)</f>
        <v>Gray</v>
      </c>
      <c r="C16" s="6">
        <f>_xlfn.XLOOKUP(A16,'Raw Material Requirement'!$A$4:$A$28,'Raw Material Requirement'!$D$4:$D$28)</f>
        <v>16800</v>
      </c>
      <c r="D16" s="32" cm="1">
        <f t="array" ref="D16">SUMPRODUCT((MOD(COLUMN($I16:$FN16)-COLUMN($I16),2)=0)*($I16:$FN16))</f>
        <v>0</v>
      </c>
      <c r="E16" s="6">
        <f t="shared" si="0"/>
        <v>16800</v>
      </c>
      <c r="F16" s="42">
        <f>'Mold Daily Output'!$F$19</f>
        <v>27456</v>
      </c>
      <c r="G16" s="44">
        <f t="shared" si="2"/>
        <v>0.61188811188811187</v>
      </c>
      <c r="H16" s="2"/>
      <c r="I16" s="6"/>
      <c r="J16" s="2"/>
      <c r="K16" s="6"/>
      <c r="L16" s="2"/>
      <c r="M16" s="6"/>
      <c r="N16" s="2"/>
      <c r="O16" s="6"/>
      <c r="P16" s="2"/>
      <c r="Q16" s="6"/>
      <c r="R16" s="2"/>
      <c r="S16" s="6"/>
      <c r="T16" s="2"/>
      <c r="U16" s="6"/>
      <c r="V16" s="2"/>
      <c r="W16" s="6"/>
      <c r="X16" s="2"/>
      <c r="Y16" s="6"/>
      <c r="Z16" s="2"/>
      <c r="AA16" s="6"/>
      <c r="AB16" s="2"/>
      <c r="AC16" s="6"/>
      <c r="AD16" s="2"/>
      <c r="AE16" s="6"/>
      <c r="AF16" s="2"/>
      <c r="AG16" s="6"/>
      <c r="AH16" s="2"/>
      <c r="AI16" s="6"/>
      <c r="AJ16" s="2"/>
      <c r="AK16" s="6"/>
      <c r="AL16" s="2"/>
      <c r="AM16" s="6"/>
      <c r="AN16" s="2"/>
      <c r="AO16" s="6"/>
      <c r="AP16" s="2"/>
      <c r="AQ16" s="6"/>
      <c r="AR16" s="2"/>
      <c r="AS16" s="6"/>
      <c r="AT16" s="2"/>
      <c r="AU16" s="6"/>
      <c r="AV16" s="2"/>
      <c r="AW16" s="6"/>
      <c r="AX16" s="2"/>
      <c r="AY16" s="6"/>
      <c r="AZ16" s="2"/>
      <c r="BA16" s="6"/>
      <c r="BB16" s="2"/>
      <c r="BC16" s="6"/>
      <c r="BD16" s="2"/>
      <c r="BE16" s="6"/>
      <c r="BF16" s="2"/>
      <c r="BG16" s="6"/>
      <c r="BH16" s="2"/>
      <c r="BI16" s="6"/>
      <c r="BJ16" s="2"/>
      <c r="BK16" s="6"/>
      <c r="BL16" s="2"/>
      <c r="BM16" s="6"/>
      <c r="BN16" s="2"/>
      <c r="BO16" s="6"/>
      <c r="BP16" s="2"/>
      <c r="BQ16" s="6"/>
      <c r="BR16" s="2"/>
      <c r="BS16" s="6"/>
      <c r="BT16" s="2"/>
      <c r="BU16" s="6"/>
      <c r="BV16" s="2"/>
      <c r="BW16" s="6"/>
      <c r="BX16" s="2"/>
      <c r="BY16" s="6"/>
      <c r="BZ16" s="2"/>
      <c r="CA16" s="6"/>
      <c r="CB16" s="2"/>
      <c r="CC16" s="6"/>
      <c r="CD16" s="2"/>
      <c r="CE16" s="6"/>
      <c r="CF16" s="2">
        <v>9000</v>
      </c>
      <c r="CG16" s="6"/>
      <c r="CH16" s="2">
        <v>7800</v>
      </c>
      <c r="CI16" s="6"/>
      <c r="CJ16" s="2"/>
      <c r="CK16" s="6"/>
      <c r="CL16" s="2"/>
      <c r="CM16" s="6"/>
      <c r="CN16" s="2"/>
      <c r="CO16" s="6"/>
      <c r="CP16" s="2"/>
      <c r="CQ16" s="6"/>
      <c r="CR16" s="2"/>
      <c r="CS16" s="6"/>
      <c r="CT16" s="2"/>
      <c r="CU16" s="6"/>
      <c r="CV16" s="2"/>
      <c r="CW16" s="6"/>
      <c r="CX16" s="2"/>
      <c r="CY16" s="6"/>
      <c r="CZ16" s="2"/>
      <c r="DA16" s="6"/>
      <c r="DB16" s="2"/>
      <c r="DC16" s="6"/>
      <c r="DD16" s="2"/>
      <c r="DE16" s="6"/>
    </row>
    <row r="17" spans="1:109" x14ac:dyDescent="0.3">
      <c r="A17" s="2" t="s">
        <v>168</v>
      </c>
      <c r="B17" s="3" t="str">
        <f>_xlfn.XLOOKUP(A17,'Raw Material Requirement'!$A$4:$A$28,'Raw Material Requirement'!$B$4:$B$28)</f>
        <v>Kelly Green</v>
      </c>
      <c r="C17" s="6">
        <f>_xlfn.XLOOKUP(A17,'Raw Material Requirement'!$A$4:$A$28,'Raw Material Requirement'!$D$4:$D$28)</f>
        <v>16800</v>
      </c>
      <c r="D17" s="32" cm="1">
        <f t="array" ref="D17">SUMPRODUCT((MOD(COLUMN($I17:$FN17)-COLUMN($I17),2)=0)*($I17:$FN17))</f>
        <v>0</v>
      </c>
      <c r="E17" s="6">
        <f t="shared" si="0"/>
        <v>16800</v>
      </c>
      <c r="F17" s="42">
        <f>'Mold Daily Output'!$F$19</f>
        <v>27456</v>
      </c>
      <c r="G17" s="44">
        <f t="shared" si="2"/>
        <v>0.61188811188811187</v>
      </c>
      <c r="H17" s="2"/>
      <c r="I17" s="6"/>
      <c r="J17" s="2"/>
      <c r="K17" s="6"/>
      <c r="L17" s="2"/>
      <c r="M17" s="6"/>
      <c r="N17" s="2"/>
      <c r="O17" s="6"/>
      <c r="P17" s="2"/>
      <c r="Q17" s="6"/>
      <c r="R17" s="2"/>
      <c r="S17" s="6"/>
      <c r="T17" s="2"/>
      <c r="U17" s="6"/>
      <c r="V17" s="2"/>
      <c r="W17" s="6"/>
      <c r="X17" s="2"/>
      <c r="Y17" s="6"/>
      <c r="Z17" s="2"/>
      <c r="AA17" s="6"/>
      <c r="AB17" s="2"/>
      <c r="AC17" s="6"/>
      <c r="AD17" s="2"/>
      <c r="AE17" s="6"/>
      <c r="AF17" s="2"/>
      <c r="AG17" s="6"/>
      <c r="AH17" s="2"/>
      <c r="AI17" s="6"/>
      <c r="AJ17" s="2"/>
      <c r="AK17" s="6"/>
      <c r="AL17" s="2"/>
      <c r="AM17" s="6"/>
      <c r="AN17" s="2"/>
      <c r="AO17" s="6"/>
      <c r="AP17" s="2"/>
      <c r="AQ17" s="6"/>
      <c r="AR17" s="2"/>
      <c r="AS17" s="6"/>
      <c r="AT17" s="2"/>
      <c r="AU17" s="6"/>
      <c r="AV17" s="2"/>
      <c r="AW17" s="6"/>
      <c r="AX17" s="2"/>
      <c r="AY17" s="6"/>
      <c r="AZ17" s="2"/>
      <c r="BA17" s="6"/>
      <c r="BB17" s="2"/>
      <c r="BC17" s="6"/>
      <c r="BD17" s="2"/>
      <c r="BE17" s="6"/>
      <c r="BF17" s="2"/>
      <c r="BG17" s="6"/>
      <c r="BH17" s="2"/>
      <c r="BI17" s="6"/>
      <c r="BJ17" s="2"/>
      <c r="BK17" s="6"/>
      <c r="BL17" s="2"/>
      <c r="BM17" s="6"/>
      <c r="BN17" s="2"/>
      <c r="BO17" s="6"/>
      <c r="BP17" s="2"/>
      <c r="BQ17" s="6"/>
      <c r="BR17" s="2"/>
      <c r="BS17" s="6"/>
      <c r="BT17" s="2"/>
      <c r="BU17" s="6"/>
      <c r="BV17" s="2"/>
      <c r="BW17" s="6"/>
      <c r="BX17" s="2"/>
      <c r="BY17" s="6"/>
      <c r="BZ17" s="2"/>
      <c r="CA17" s="6"/>
      <c r="CB17" s="2"/>
      <c r="CC17" s="6"/>
      <c r="CD17" s="2"/>
      <c r="CE17" s="6"/>
      <c r="CF17" s="2"/>
      <c r="CG17" s="6"/>
      <c r="CH17" s="2">
        <v>16800</v>
      </c>
      <c r="CI17" s="6"/>
      <c r="CJ17" s="2"/>
      <c r="CK17" s="6"/>
      <c r="CL17" s="2"/>
      <c r="CM17" s="6"/>
      <c r="CN17" s="2"/>
      <c r="CO17" s="6"/>
      <c r="CP17" s="2"/>
      <c r="CQ17" s="6"/>
      <c r="CR17" s="2"/>
      <c r="CS17" s="6"/>
      <c r="CT17" s="2"/>
      <c r="CU17" s="6"/>
      <c r="CV17" s="2"/>
      <c r="CW17" s="6"/>
      <c r="CX17" s="2"/>
      <c r="CY17" s="6"/>
      <c r="CZ17" s="2"/>
      <c r="DA17" s="6"/>
      <c r="DB17" s="2"/>
      <c r="DC17" s="6"/>
      <c r="DD17" s="2"/>
      <c r="DE17" s="6"/>
    </row>
    <row r="18" spans="1:109" x14ac:dyDescent="0.3">
      <c r="A18" s="2" t="s">
        <v>169</v>
      </c>
      <c r="B18" s="3" t="str">
        <f>_xlfn.XLOOKUP(A18,'Raw Material Requirement'!$A$4:$A$28,'Raw Material Requirement'!$B$4:$B$28)</f>
        <v>Purple</v>
      </c>
      <c r="C18" s="6">
        <f>_xlfn.XLOOKUP(A18,'Raw Material Requirement'!$A$4:$A$28,'Raw Material Requirement'!$D$4:$D$28)</f>
        <v>16800</v>
      </c>
      <c r="D18" s="32" cm="1">
        <f t="array" ref="D18">SUMPRODUCT((MOD(COLUMN($I18:$FN18)-COLUMN($I18),2)=0)*($I18:$FN18))</f>
        <v>0</v>
      </c>
      <c r="E18" s="6">
        <f t="shared" si="0"/>
        <v>16800</v>
      </c>
      <c r="F18" s="42">
        <f>'Mold Daily Output'!$F$19</f>
        <v>27456</v>
      </c>
      <c r="G18" s="44">
        <f t="shared" si="2"/>
        <v>0.61188811188811187</v>
      </c>
      <c r="H18" s="2"/>
      <c r="I18" s="6"/>
      <c r="J18" s="2"/>
      <c r="K18" s="6"/>
      <c r="L18" s="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v>16800</v>
      </c>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row>
    <row r="19" spans="1:109" ht="15" thickBot="1" x14ac:dyDescent="0.35">
      <c r="A19" s="4" t="s">
        <v>164</v>
      </c>
      <c r="B19" s="5" t="str">
        <f>_xlfn.XLOOKUP(A19,'Raw Material Requirement'!$A$4:$A$28,'Raw Material Requirement'!$B$4:$B$28)</f>
        <v>Yellow</v>
      </c>
      <c r="C19" s="7">
        <f>_xlfn.XLOOKUP(A19,'Raw Material Requirement'!$A$4:$A$28,'Raw Material Requirement'!$D$4:$D$28)</f>
        <v>8400</v>
      </c>
      <c r="D19" s="56" cm="1">
        <f t="array" ref="D19">SUMPRODUCT((MOD(COLUMN($I19:$FN19)-COLUMN($I19),2)=0)*($I19:$FN19))</f>
        <v>0</v>
      </c>
      <c r="E19" s="7">
        <f t="shared" si="0"/>
        <v>8400</v>
      </c>
      <c r="F19" s="42">
        <f>'Mold Daily Output'!$F$19</f>
        <v>27456</v>
      </c>
      <c r="G19" s="45">
        <f t="shared" si="2"/>
        <v>0.30594405594405594</v>
      </c>
      <c r="H19" s="4"/>
      <c r="I19" s="7"/>
      <c r="J19" s="4"/>
      <c r="K19" s="7"/>
      <c r="L19" s="4"/>
      <c r="M19" s="7"/>
      <c r="N19" s="4"/>
      <c r="O19" s="7"/>
      <c r="P19" s="4"/>
      <c r="Q19" s="7"/>
      <c r="R19" s="4"/>
      <c r="S19" s="7"/>
      <c r="T19" s="4"/>
      <c r="U19" s="7"/>
      <c r="V19" s="4"/>
      <c r="W19" s="7"/>
      <c r="X19" s="4"/>
      <c r="Y19" s="7"/>
      <c r="Z19" s="4"/>
      <c r="AA19" s="7"/>
      <c r="AB19" s="4"/>
      <c r="AC19" s="7"/>
      <c r="AD19" s="4"/>
      <c r="AE19" s="7"/>
      <c r="AF19" s="4"/>
      <c r="AG19" s="7"/>
      <c r="AH19" s="4">
        <v>8400</v>
      </c>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row>
    <row r="20" spans="1:109" ht="28.8" x14ac:dyDescent="0.3">
      <c r="G20" s="17" t="s">
        <v>551</v>
      </c>
      <c r="H20">
        <f>((SUM(H4:H19))*6.4)/1000</f>
        <v>175.71840000000003</v>
      </c>
      <c r="I20">
        <f t="shared" ref="I20:BT20" si="3">((SUM(I4:I19))*6.4)/1000</f>
        <v>0</v>
      </c>
      <c r="J20">
        <f t="shared" si="3"/>
        <v>175.71840000000003</v>
      </c>
      <c r="K20">
        <f t="shared" si="3"/>
        <v>0</v>
      </c>
      <c r="L20">
        <f t="shared" si="3"/>
        <v>175.71840000000003</v>
      </c>
      <c r="M20">
        <f t="shared" si="3"/>
        <v>0</v>
      </c>
      <c r="N20">
        <f t="shared" si="3"/>
        <v>175.71840000000003</v>
      </c>
      <c r="O20">
        <f t="shared" si="3"/>
        <v>0</v>
      </c>
      <c r="P20">
        <f t="shared" si="3"/>
        <v>175.71840000000003</v>
      </c>
      <c r="Q20">
        <f t="shared" si="3"/>
        <v>0</v>
      </c>
      <c r="R20">
        <f t="shared" si="3"/>
        <v>175.71840000000003</v>
      </c>
      <c r="S20">
        <f t="shared" si="3"/>
        <v>0</v>
      </c>
      <c r="T20">
        <f t="shared" si="3"/>
        <v>175.71840000000003</v>
      </c>
      <c r="U20">
        <f t="shared" si="3"/>
        <v>0</v>
      </c>
      <c r="V20">
        <f t="shared" si="3"/>
        <v>167.7312</v>
      </c>
      <c r="W20">
        <f t="shared" si="3"/>
        <v>0</v>
      </c>
      <c r="X20">
        <f t="shared" si="3"/>
        <v>175.71840000000003</v>
      </c>
      <c r="Y20">
        <f t="shared" si="3"/>
        <v>0</v>
      </c>
      <c r="Z20">
        <f t="shared" si="3"/>
        <v>175.71840000000003</v>
      </c>
      <c r="AA20">
        <f t="shared" si="3"/>
        <v>0</v>
      </c>
      <c r="AB20">
        <f t="shared" si="3"/>
        <v>175.71840000000003</v>
      </c>
      <c r="AC20">
        <f t="shared" si="3"/>
        <v>0</v>
      </c>
      <c r="AD20">
        <f t="shared" si="3"/>
        <v>175.71840000000003</v>
      </c>
      <c r="AE20">
        <f t="shared" si="3"/>
        <v>0</v>
      </c>
      <c r="AF20">
        <f t="shared" si="3"/>
        <v>175.71840000000003</v>
      </c>
      <c r="AG20">
        <f t="shared" si="3"/>
        <v>0</v>
      </c>
      <c r="AH20">
        <f t="shared" si="3"/>
        <v>142.84800000000001</v>
      </c>
      <c r="AI20">
        <f t="shared" si="3"/>
        <v>0</v>
      </c>
      <c r="AJ20">
        <f t="shared" si="3"/>
        <v>175.71840000000003</v>
      </c>
      <c r="AK20">
        <f t="shared" si="3"/>
        <v>0</v>
      </c>
      <c r="AL20">
        <f t="shared" si="3"/>
        <v>175.71840000000003</v>
      </c>
      <c r="AM20">
        <f t="shared" si="3"/>
        <v>0</v>
      </c>
      <c r="AN20">
        <f t="shared" si="3"/>
        <v>175.71840000000003</v>
      </c>
      <c r="AO20">
        <f t="shared" si="3"/>
        <v>0</v>
      </c>
      <c r="AP20">
        <f t="shared" si="3"/>
        <v>175.71840000000003</v>
      </c>
      <c r="AQ20">
        <f t="shared" si="3"/>
        <v>0</v>
      </c>
      <c r="AR20">
        <f t="shared" si="3"/>
        <v>157.28640000000001</v>
      </c>
      <c r="AS20">
        <f t="shared" si="3"/>
        <v>0</v>
      </c>
      <c r="AT20">
        <f t="shared" si="3"/>
        <v>175.71840000000003</v>
      </c>
      <c r="AU20">
        <f t="shared" si="3"/>
        <v>0</v>
      </c>
      <c r="AV20">
        <f t="shared" si="3"/>
        <v>175.71840000000003</v>
      </c>
      <c r="AW20">
        <f t="shared" si="3"/>
        <v>0</v>
      </c>
      <c r="AX20">
        <f t="shared" si="3"/>
        <v>175.71840000000003</v>
      </c>
      <c r="AY20">
        <f t="shared" si="3"/>
        <v>0</v>
      </c>
      <c r="AZ20">
        <f t="shared" si="3"/>
        <v>175.71840000000003</v>
      </c>
      <c r="BA20">
        <f t="shared" si="3"/>
        <v>0</v>
      </c>
      <c r="BB20">
        <f t="shared" si="3"/>
        <v>157.28640000000001</v>
      </c>
      <c r="BC20">
        <f t="shared" si="3"/>
        <v>0</v>
      </c>
      <c r="BD20">
        <f t="shared" si="3"/>
        <v>175.71840000000003</v>
      </c>
      <c r="BE20">
        <f t="shared" si="3"/>
        <v>0</v>
      </c>
      <c r="BF20">
        <f t="shared" si="3"/>
        <v>175.71840000000003</v>
      </c>
      <c r="BG20">
        <f t="shared" si="3"/>
        <v>0</v>
      </c>
      <c r="BH20">
        <f t="shared" si="3"/>
        <v>175.71840000000003</v>
      </c>
      <c r="BI20">
        <f t="shared" si="3"/>
        <v>0</v>
      </c>
      <c r="BJ20">
        <f t="shared" si="3"/>
        <v>156.36480000000003</v>
      </c>
      <c r="BK20">
        <f t="shared" si="3"/>
        <v>0</v>
      </c>
      <c r="BL20">
        <f t="shared" si="3"/>
        <v>175.71840000000003</v>
      </c>
      <c r="BM20">
        <f t="shared" si="3"/>
        <v>0</v>
      </c>
      <c r="BN20">
        <f t="shared" si="3"/>
        <v>175.71840000000003</v>
      </c>
      <c r="BO20">
        <f t="shared" si="3"/>
        <v>0</v>
      </c>
      <c r="BP20">
        <f t="shared" si="3"/>
        <v>175.71840000000003</v>
      </c>
      <c r="BQ20">
        <f t="shared" si="3"/>
        <v>0</v>
      </c>
      <c r="BR20">
        <f t="shared" si="3"/>
        <v>156.36480000000003</v>
      </c>
      <c r="BS20">
        <f t="shared" si="3"/>
        <v>0</v>
      </c>
      <c r="BT20">
        <f t="shared" si="3"/>
        <v>175.71840000000003</v>
      </c>
      <c r="BU20">
        <f t="shared" ref="BU20:CI20" si="4">((SUM(BU4:BU19))*6.4)/1000</f>
        <v>0</v>
      </c>
      <c r="BV20">
        <f t="shared" si="4"/>
        <v>109.36320000000001</v>
      </c>
      <c r="BW20">
        <f t="shared" si="4"/>
        <v>0</v>
      </c>
      <c r="BX20">
        <f t="shared" si="4"/>
        <v>175.71840000000003</v>
      </c>
      <c r="BY20">
        <f t="shared" si="4"/>
        <v>0</v>
      </c>
      <c r="BZ20">
        <f t="shared" si="4"/>
        <v>161.28</v>
      </c>
      <c r="CA20">
        <f t="shared" si="4"/>
        <v>0</v>
      </c>
      <c r="CB20">
        <f t="shared" si="4"/>
        <v>161.28</v>
      </c>
      <c r="CC20">
        <f t="shared" si="4"/>
        <v>0</v>
      </c>
      <c r="CD20">
        <f t="shared" si="4"/>
        <v>161.28</v>
      </c>
      <c r="CE20">
        <f t="shared" si="4"/>
        <v>0</v>
      </c>
      <c r="CF20">
        <f t="shared" si="4"/>
        <v>165.12</v>
      </c>
      <c r="CG20">
        <f t="shared" si="4"/>
        <v>0</v>
      </c>
      <c r="CH20">
        <f t="shared" si="4"/>
        <v>157.44</v>
      </c>
      <c r="CI20">
        <f t="shared" si="4"/>
        <v>0</v>
      </c>
    </row>
    <row r="22" spans="1:109" ht="15" thickBot="1" x14ac:dyDescent="0.35"/>
    <row r="23" spans="1:109" x14ac:dyDescent="0.3">
      <c r="A23" s="33" t="s">
        <v>418</v>
      </c>
      <c r="B23" s="34" t="s">
        <v>6</v>
      </c>
      <c r="C23" s="32"/>
      <c r="D23" s="3"/>
      <c r="E23" s="3"/>
      <c r="F23" s="3"/>
      <c r="G23" s="9"/>
      <c r="H23" s="106" t="s">
        <v>427</v>
      </c>
      <c r="I23" s="108"/>
      <c r="J23" s="106" t="s">
        <v>428</v>
      </c>
      <c r="K23" s="108"/>
      <c r="L23" s="106" t="s">
        <v>429</v>
      </c>
      <c r="M23" s="116"/>
      <c r="N23" s="106" t="s">
        <v>430</v>
      </c>
      <c r="O23" s="108"/>
      <c r="P23" s="106" t="s">
        <v>431</v>
      </c>
      <c r="Q23" s="116"/>
      <c r="R23" s="106" t="s">
        <v>432</v>
      </c>
      <c r="S23" s="108"/>
      <c r="T23" s="106" t="s">
        <v>433</v>
      </c>
      <c r="U23" s="116"/>
      <c r="V23" s="106" t="s">
        <v>434</v>
      </c>
      <c r="W23" s="108"/>
      <c r="X23" s="106" t="s">
        <v>435</v>
      </c>
      <c r="Y23" s="116"/>
      <c r="Z23" s="106" t="s">
        <v>436</v>
      </c>
      <c r="AA23" s="108"/>
      <c r="AB23" s="106" t="s">
        <v>437</v>
      </c>
      <c r="AC23" s="116"/>
      <c r="AD23" s="106" t="s">
        <v>438</v>
      </c>
      <c r="AE23" s="108"/>
      <c r="AF23" s="106" t="s">
        <v>439</v>
      </c>
      <c r="AG23" s="116"/>
      <c r="AH23" s="106" t="s">
        <v>440</v>
      </c>
      <c r="AI23" s="108"/>
      <c r="AJ23" s="106" t="s">
        <v>441</v>
      </c>
      <c r="AK23" s="116"/>
      <c r="AL23" s="106" t="s">
        <v>442</v>
      </c>
      <c r="AM23" s="108"/>
      <c r="AN23" s="106" t="s">
        <v>443</v>
      </c>
      <c r="AO23" s="116"/>
      <c r="AP23" s="106" t="s">
        <v>444</v>
      </c>
      <c r="AQ23" s="108"/>
      <c r="AR23" s="106" t="s">
        <v>445</v>
      </c>
      <c r="AS23" s="116"/>
      <c r="AT23" s="106" t="s">
        <v>446</v>
      </c>
      <c r="AU23" s="108"/>
      <c r="AV23" s="106" t="s">
        <v>447</v>
      </c>
      <c r="AW23" s="116"/>
      <c r="AX23" s="106" t="s">
        <v>448</v>
      </c>
      <c r="AY23" s="108"/>
      <c r="AZ23" s="106" t="s">
        <v>449</v>
      </c>
      <c r="BA23" s="116"/>
      <c r="BB23" s="106" t="s">
        <v>450</v>
      </c>
      <c r="BC23" s="108"/>
      <c r="BD23" s="106" t="s">
        <v>451</v>
      </c>
      <c r="BE23" s="116"/>
      <c r="BF23" s="106" t="s">
        <v>452</v>
      </c>
      <c r="BG23" s="108"/>
      <c r="BH23" s="106" t="s">
        <v>453</v>
      </c>
      <c r="BI23" s="116"/>
      <c r="BJ23" s="106" t="s">
        <v>454</v>
      </c>
      <c r="BK23" s="108"/>
      <c r="BL23" s="106" t="s">
        <v>455</v>
      </c>
      <c r="BM23" s="116"/>
      <c r="BN23" s="106" t="s">
        <v>456</v>
      </c>
      <c r="BO23" s="108"/>
      <c r="BP23" s="106" t="s">
        <v>457</v>
      </c>
      <c r="BQ23" s="116"/>
      <c r="BR23" s="106" t="s">
        <v>458</v>
      </c>
      <c r="BS23" s="108"/>
      <c r="BT23" s="106" t="s">
        <v>459</v>
      </c>
      <c r="BU23" s="116"/>
      <c r="BV23" s="106" t="s">
        <v>460</v>
      </c>
      <c r="BW23" s="108"/>
      <c r="BX23" s="106" t="s">
        <v>461</v>
      </c>
      <c r="BY23" s="116"/>
      <c r="BZ23" s="106" t="s">
        <v>462</v>
      </c>
      <c r="CA23" s="108"/>
      <c r="CB23" s="106" t="s">
        <v>463</v>
      </c>
      <c r="CC23" s="116"/>
      <c r="CD23" s="106" t="s">
        <v>464</v>
      </c>
      <c r="CE23" s="108"/>
      <c r="CF23" s="106" t="s">
        <v>465</v>
      </c>
      <c r="CG23" s="116"/>
      <c r="CH23" s="106" t="s">
        <v>466</v>
      </c>
      <c r="CI23" s="108"/>
      <c r="CJ23" s="106" t="s">
        <v>467</v>
      </c>
      <c r="CK23" s="116"/>
      <c r="CL23" s="106" t="s">
        <v>468</v>
      </c>
      <c r="CM23" s="108"/>
      <c r="CN23" s="106" t="s">
        <v>469</v>
      </c>
      <c r="CO23" s="116"/>
      <c r="CP23" s="106" t="s">
        <v>470</v>
      </c>
      <c r="CQ23" s="108"/>
      <c r="CR23" s="106" t="s">
        <v>471</v>
      </c>
      <c r="CS23" s="116"/>
      <c r="CT23" s="106" t="s">
        <v>472</v>
      </c>
      <c r="CU23" s="108"/>
      <c r="CV23" s="106" t="s">
        <v>473</v>
      </c>
      <c r="CW23" s="116"/>
      <c r="CX23" s="106" t="s">
        <v>474</v>
      </c>
      <c r="CY23" s="108"/>
      <c r="CZ23" s="106" t="s">
        <v>475</v>
      </c>
      <c r="DA23" s="116"/>
      <c r="DB23" s="106" t="s">
        <v>476</v>
      </c>
      <c r="DC23" s="108"/>
      <c r="DD23" s="106" t="s">
        <v>477</v>
      </c>
      <c r="DE23" s="108"/>
    </row>
    <row r="24" spans="1:109" ht="29.4" thickBot="1" x14ac:dyDescent="0.35">
      <c r="A24" s="89" t="s">
        <v>422</v>
      </c>
      <c r="B24" s="93" t="s">
        <v>532</v>
      </c>
      <c r="C24" s="37" t="s">
        <v>533</v>
      </c>
      <c r="D24" s="41"/>
      <c r="E24" s="41"/>
      <c r="F24" s="41"/>
      <c r="G24" s="11"/>
      <c r="H24" s="115">
        <v>45974</v>
      </c>
      <c r="I24" s="111"/>
      <c r="J24" s="115">
        <f>WORKDAY.INTL(H24,1,"0010000")</f>
        <v>45975</v>
      </c>
      <c r="K24" s="111"/>
      <c r="L24" s="115">
        <f>WORKDAY.INTL(J24,1,"0010000")</f>
        <v>45976</v>
      </c>
      <c r="M24" s="111"/>
      <c r="N24" s="115">
        <f>WORKDAY.INTL(L24,1,"0010000")</f>
        <v>45977</v>
      </c>
      <c r="O24" s="111"/>
      <c r="P24" s="115">
        <f>WORKDAY.INTL(N24,1,"0010000")</f>
        <v>45978</v>
      </c>
      <c r="Q24" s="111"/>
      <c r="R24" s="115">
        <f>WORKDAY.INTL(P24,1,"0010000")</f>
        <v>45979</v>
      </c>
      <c r="S24" s="111"/>
      <c r="T24" s="115">
        <f>WORKDAY.INTL(R24,1,"0010000")</f>
        <v>45981</v>
      </c>
      <c r="U24" s="111"/>
      <c r="V24" s="115">
        <f>WORKDAY.INTL(T24,1,"0010000")</f>
        <v>45982</v>
      </c>
      <c r="W24" s="111"/>
      <c r="X24" s="115">
        <f>WORKDAY.INTL(V24,1,"0010000")</f>
        <v>45983</v>
      </c>
      <c r="Y24" s="111"/>
      <c r="Z24" s="115">
        <f>WORKDAY.INTL(X24,1,"0010000")</f>
        <v>45984</v>
      </c>
      <c r="AA24" s="111"/>
      <c r="AB24" s="115">
        <f>WORKDAY.INTL(Z24,1,"0010000")</f>
        <v>45985</v>
      </c>
      <c r="AC24" s="111"/>
      <c r="AD24" s="115">
        <f>WORKDAY.INTL(AB24,1,"0010000")</f>
        <v>45986</v>
      </c>
      <c r="AE24" s="111"/>
      <c r="AF24" s="115">
        <f>WORKDAY.INTL(AD24,1,"0010000")</f>
        <v>45988</v>
      </c>
      <c r="AG24" s="111"/>
      <c r="AH24" s="115">
        <f>WORKDAY.INTL(AF24,1,"0010000")</f>
        <v>45989</v>
      </c>
      <c r="AI24" s="111"/>
      <c r="AJ24" s="115">
        <f>WORKDAY.INTL(AH24,1,"0010000")</f>
        <v>45990</v>
      </c>
      <c r="AK24" s="111"/>
      <c r="AL24" s="115">
        <f>WORKDAY.INTL(AJ24,1,"0010000")</f>
        <v>45991</v>
      </c>
      <c r="AM24" s="111"/>
      <c r="AN24" s="115">
        <f>WORKDAY.INTL(AL24,1,"0010000")</f>
        <v>45992</v>
      </c>
      <c r="AO24" s="111"/>
      <c r="AP24" s="115">
        <f>WORKDAY.INTL(AN24,1,"0010000")</f>
        <v>45993</v>
      </c>
      <c r="AQ24" s="111"/>
      <c r="AR24" s="115">
        <f>WORKDAY.INTL(AP24,1,"0010000")</f>
        <v>45995</v>
      </c>
      <c r="AS24" s="111"/>
      <c r="AT24" s="115">
        <f>WORKDAY.INTL(AR24,1,"0010000")</f>
        <v>45996</v>
      </c>
      <c r="AU24" s="111"/>
      <c r="AV24" s="115">
        <f>WORKDAY.INTL(AT24,1,"0010000")</f>
        <v>45997</v>
      </c>
      <c r="AW24" s="111"/>
      <c r="AX24" s="115">
        <f>WORKDAY.INTL(AV24,1,"0010000")</f>
        <v>45998</v>
      </c>
      <c r="AY24" s="111"/>
      <c r="AZ24" s="115">
        <f>WORKDAY.INTL(AX24,1,"0010000")</f>
        <v>45999</v>
      </c>
      <c r="BA24" s="111"/>
      <c r="BB24" s="115">
        <f>WORKDAY.INTL(AZ24,1,"0010000")</f>
        <v>46000</v>
      </c>
      <c r="BC24" s="111"/>
      <c r="BD24" s="115">
        <f>WORKDAY.INTL(BB24,1,"0010000")</f>
        <v>46002</v>
      </c>
      <c r="BE24" s="111"/>
      <c r="BF24" s="115">
        <f>WORKDAY.INTL(BD24,1,"0010000")</f>
        <v>46003</v>
      </c>
      <c r="BG24" s="111"/>
      <c r="BH24" s="115">
        <f>WORKDAY.INTL(BF24,1,"0010000")</f>
        <v>46004</v>
      </c>
      <c r="BI24" s="111"/>
      <c r="BJ24" s="115">
        <f>WORKDAY.INTL(BH24,1,"0010000")</f>
        <v>46005</v>
      </c>
      <c r="BK24" s="111"/>
      <c r="BL24" s="115">
        <f>WORKDAY.INTL(BJ24,1,"0010000")</f>
        <v>46006</v>
      </c>
      <c r="BM24" s="111"/>
      <c r="BN24" s="115">
        <f>WORKDAY.INTL(BL24,1,"0010000")</f>
        <v>46007</v>
      </c>
      <c r="BO24" s="111"/>
      <c r="BP24" s="115">
        <f>WORKDAY.INTL(BN24,1,"0010000")</f>
        <v>46009</v>
      </c>
      <c r="BQ24" s="111"/>
      <c r="BR24" s="115">
        <f>WORKDAY.INTL(BP24,1,"0010000")</f>
        <v>46010</v>
      </c>
      <c r="BS24" s="111"/>
      <c r="BT24" s="115">
        <f>WORKDAY.INTL(BR24,1,"0010000")</f>
        <v>46011</v>
      </c>
      <c r="BU24" s="111"/>
      <c r="BV24" s="115">
        <f>WORKDAY.INTL(BT24,1,"0010000")</f>
        <v>46012</v>
      </c>
      <c r="BW24" s="111"/>
      <c r="BX24" s="115">
        <f>WORKDAY.INTL(BV24,1,"0010000")</f>
        <v>46013</v>
      </c>
      <c r="BY24" s="111"/>
      <c r="BZ24" s="115">
        <f>WORKDAY.INTL(BX24,1,"0010000")</f>
        <v>46014</v>
      </c>
      <c r="CA24" s="111"/>
      <c r="CB24" s="115">
        <f>WORKDAY.INTL(BZ24,1,"0010000")</f>
        <v>46016</v>
      </c>
      <c r="CC24" s="111"/>
      <c r="CD24" s="115">
        <f>WORKDAY.INTL(CB24,1,"0010000")</f>
        <v>46017</v>
      </c>
      <c r="CE24" s="111"/>
      <c r="CF24" s="115">
        <f>WORKDAY.INTL(CD24,1,"0010000")</f>
        <v>46018</v>
      </c>
      <c r="CG24" s="111"/>
      <c r="CH24" s="115">
        <f>WORKDAY.INTL(CF24,1,"0010000")</f>
        <v>46019</v>
      </c>
      <c r="CI24" s="111"/>
      <c r="CJ24" s="115">
        <f>WORKDAY.INTL(CH24,1,"0010000")</f>
        <v>46020</v>
      </c>
      <c r="CK24" s="111"/>
      <c r="CL24" s="115">
        <f>WORKDAY.INTL(CJ24,1,"0010000")</f>
        <v>46021</v>
      </c>
      <c r="CM24" s="111"/>
      <c r="CN24" s="115">
        <f>WORKDAY.INTL(CL24,1,"0010000")</f>
        <v>46023</v>
      </c>
      <c r="CO24" s="111"/>
      <c r="CP24" s="115">
        <f>WORKDAY.INTL(CN24,1,"0010000")</f>
        <v>46024</v>
      </c>
      <c r="CQ24" s="111"/>
      <c r="CR24" s="115">
        <f>WORKDAY.INTL(CP24,1,"0010000")</f>
        <v>46025</v>
      </c>
      <c r="CS24" s="111"/>
      <c r="CT24" s="115">
        <f>WORKDAY.INTL(CR24,1,"0010000")</f>
        <v>46026</v>
      </c>
      <c r="CU24" s="111"/>
      <c r="CV24" s="115">
        <f>WORKDAY.INTL(CT24,1,"0010000")</f>
        <v>46027</v>
      </c>
      <c r="CW24" s="111"/>
      <c r="CX24" s="115">
        <f>WORKDAY.INTL(CV24,1,"0010000")</f>
        <v>46028</v>
      </c>
      <c r="CY24" s="111"/>
      <c r="CZ24" s="115">
        <f>WORKDAY.INTL(CX24,1,"0010000")</f>
        <v>46030</v>
      </c>
      <c r="DA24" s="111"/>
      <c r="DB24" s="115">
        <f>WORKDAY.INTL(CZ24,1,"0010000")</f>
        <v>46031</v>
      </c>
      <c r="DC24" s="111"/>
      <c r="DD24" s="115">
        <f>WORKDAY.INTL(DB24,1,"0010000")</f>
        <v>46032</v>
      </c>
      <c r="DE24" s="111"/>
    </row>
    <row r="25" spans="1:109" ht="43.2" x14ac:dyDescent="0.3">
      <c r="A25" s="38" t="s">
        <v>186</v>
      </c>
      <c r="B25" s="39" t="s">
        <v>319</v>
      </c>
      <c r="C25" s="40" t="s">
        <v>419</v>
      </c>
      <c r="D25" s="38" t="s">
        <v>420</v>
      </c>
      <c r="E25" s="40" t="s">
        <v>421</v>
      </c>
      <c r="F25" s="38" t="s">
        <v>479</v>
      </c>
      <c r="G25" s="43" t="s">
        <v>424</v>
      </c>
      <c r="H25" s="30" t="s">
        <v>425</v>
      </c>
      <c r="I25" s="31" t="s">
        <v>426</v>
      </c>
      <c r="J25" s="30" t="s">
        <v>425</v>
      </c>
      <c r="K25" s="31" t="s">
        <v>426</v>
      </c>
      <c r="L25" s="30" t="s">
        <v>425</v>
      </c>
      <c r="M25" s="31" t="s">
        <v>426</v>
      </c>
      <c r="N25" s="30" t="s">
        <v>425</v>
      </c>
      <c r="O25" s="31" t="s">
        <v>426</v>
      </c>
      <c r="P25" s="30" t="s">
        <v>425</v>
      </c>
      <c r="Q25" s="31" t="s">
        <v>426</v>
      </c>
      <c r="R25" s="30" t="s">
        <v>425</v>
      </c>
      <c r="S25" s="31" t="s">
        <v>426</v>
      </c>
      <c r="T25" s="30" t="s">
        <v>425</v>
      </c>
      <c r="U25" s="31" t="s">
        <v>426</v>
      </c>
      <c r="V25" s="30" t="s">
        <v>425</v>
      </c>
      <c r="W25" s="31" t="s">
        <v>426</v>
      </c>
      <c r="X25" s="30" t="s">
        <v>425</v>
      </c>
      <c r="Y25" s="31" t="s">
        <v>426</v>
      </c>
      <c r="Z25" s="30" t="s">
        <v>425</v>
      </c>
      <c r="AA25" s="31" t="s">
        <v>426</v>
      </c>
      <c r="AB25" s="30" t="s">
        <v>425</v>
      </c>
      <c r="AC25" s="31" t="s">
        <v>426</v>
      </c>
      <c r="AD25" s="30" t="s">
        <v>425</v>
      </c>
      <c r="AE25" s="31" t="s">
        <v>426</v>
      </c>
      <c r="AF25" s="30" t="s">
        <v>425</v>
      </c>
      <c r="AG25" s="31" t="s">
        <v>426</v>
      </c>
      <c r="AH25" s="30" t="s">
        <v>425</v>
      </c>
      <c r="AI25" s="31" t="s">
        <v>426</v>
      </c>
      <c r="AJ25" s="30" t="s">
        <v>425</v>
      </c>
      <c r="AK25" s="31" t="s">
        <v>426</v>
      </c>
      <c r="AL25" s="30" t="s">
        <v>425</v>
      </c>
      <c r="AM25" s="31" t="s">
        <v>426</v>
      </c>
      <c r="AN25" s="30" t="s">
        <v>425</v>
      </c>
      <c r="AO25" s="31" t="s">
        <v>426</v>
      </c>
      <c r="AP25" s="30" t="s">
        <v>425</v>
      </c>
      <c r="AQ25" s="31" t="s">
        <v>426</v>
      </c>
      <c r="AR25" s="30" t="s">
        <v>425</v>
      </c>
      <c r="AS25" s="31" t="s">
        <v>426</v>
      </c>
      <c r="AT25" s="30" t="s">
        <v>425</v>
      </c>
      <c r="AU25" s="31" t="s">
        <v>426</v>
      </c>
      <c r="AV25" s="30" t="s">
        <v>425</v>
      </c>
      <c r="AW25" s="31" t="s">
        <v>426</v>
      </c>
      <c r="AX25" s="30" t="s">
        <v>425</v>
      </c>
      <c r="AY25" s="31" t="s">
        <v>426</v>
      </c>
      <c r="AZ25" s="30" t="s">
        <v>425</v>
      </c>
      <c r="BA25" s="31" t="s">
        <v>426</v>
      </c>
      <c r="BB25" s="30" t="s">
        <v>425</v>
      </c>
      <c r="BC25" s="31" t="s">
        <v>426</v>
      </c>
      <c r="BD25" s="30" t="s">
        <v>425</v>
      </c>
      <c r="BE25" s="31" t="s">
        <v>426</v>
      </c>
      <c r="BF25" s="30" t="s">
        <v>425</v>
      </c>
      <c r="BG25" s="31" t="s">
        <v>426</v>
      </c>
      <c r="BH25" s="30" t="s">
        <v>425</v>
      </c>
      <c r="BI25" s="31" t="s">
        <v>426</v>
      </c>
      <c r="BJ25" s="30" t="s">
        <v>425</v>
      </c>
      <c r="BK25" s="31" t="s">
        <v>426</v>
      </c>
      <c r="BL25" s="30" t="s">
        <v>425</v>
      </c>
      <c r="BM25" s="31" t="s">
        <v>426</v>
      </c>
      <c r="BN25" s="30" t="s">
        <v>425</v>
      </c>
      <c r="BO25" s="31" t="s">
        <v>426</v>
      </c>
      <c r="BP25" s="30" t="s">
        <v>425</v>
      </c>
      <c r="BQ25" s="31" t="s">
        <v>426</v>
      </c>
      <c r="BR25" s="30" t="s">
        <v>425</v>
      </c>
      <c r="BS25" s="31" t="s">
        <v>426</v>
      </c>
      <c r="BT25" s="30" t="s">
        <v>425</v>
      </c>
      <c r="BU25" s="31" t="s">
        <v>426</v>
      </c>
      <c r="BV25" s="30" t="s">
        <v>425</v>
      </c>
      <c r="BW25" s="31" t="s">
        <v>426</v>
      </c>
      <c r="BX25" s="30" t="s">
        <v>425</v>
      </c>
      <c r="BY25" s="31" t="s">
        <v>426</v>
      </c>
      <c r="BZ25" s="30" t="s">
        <v>425</v>
      </c>
      <c r="CA25" s="31" t="s">
        <v>426</v>
      </c>
      <c r="CB25" s="30" t="s">
        <v>425</v>
      </c>
      <c r="CC25" s="31" t="s">
        <v>426</v>
      </c>
      <c r="CD25" s="30" t="s">
        <v>425</v>
      </c>
      <c r="CE25" s="31" t="s">
        <v>426</v>
      </c>
      <c r="CF25" s="30" t="s">
        <v>425</v>
      </c>
      <c r="CG25" s="31" t="s">
        <v>426</v>
      </c>
      <c r="CH25" s="30" t="s">
        <v>425</v>
      </c>
      <c r="CI25" s="31" t="s">
        <v>426</v>
      </c>
      <c r="CJ25" s="30" t="s">
        <v>425</v>
      </c>
      <c r="CK25" s="31" t="s">
        <v>426</v>
      </c>
      <c r="CL25" s="30" t="s">
        <v>425</v>
      </c>
      <c r="CM25" s="31" t="s">
        <v>426</v>
      </c>
      <c r="CN25" s="30" t="s">
        <v>425</v>
      </c>
      <c r="CO25" s="31" t="s">
        <v>426</v>
      </c>
      <c r="CP25" s="30" t="s">
        <v>425</v>
      </c>
      <c r="CQ25" s="31" t="s">
        <v>426</v>
      </c>
      <c r="CR25" s="30" t="s">
        <v>425</v>
      </c>
      <c r="CS25" s="31" t="s">
        <v>426</v>
      </c>
      <c r="CT25" s="30" t="s">
        <v>425</v>
      </c>
      <c r="CU25" s="31" t="s">
        <v>426</v>
      </c>
      <c r="CV25" s="30" t="s">
        <v>425</v>
      </c>
      <c r="CW25" s="31" t="s">
        <v>426</v>
      </c>
      <c r="CX25" s="30" t="s">
        <v>425</v>
      </c>
      <c r="CY25" s="31" t="s">
        <v>426</v>
      </c>
      <c r="CZ25" s="30" t="s">
        <v>425</v>
      </c>
      <c r="DA25" s="31" t="s">
        <v>426</v>
      </c>
      <c r="DB25" s="30" t="s">
        <v>425</v>
      </c>
      <c r="DC25" s="31" t="s">
        <v>426</v>
      </c>
      <c r="DD25" s="30" t="s">
        <v>425</v>
      </c>
      <c r="DE25" s="31" t="s">
        <v>426</v>
      </c>
    </row>
    <row r="26" spans="1:109" x14ac:dyDescent="0.3">
      <c r="A26" s="3" t="s">
        <v>155</v>
      </c>
      <c r="B26" s="3" t="str">
        <f>_xlfn.XLOOKUP(A26,'Raw Material Requirement'!$A$4:$A$28,'Raw Material Requirement'!$B$4:$B$28)</f>
        <v>Black</v>
      </c>
      <c r="C26" s="6">
        <f>_xlfn.XLOOKUP(A4,'Raw Material Requirement'!$A$4:$A$28,'Raw Material Requirement'!$C$4:$C$28)</f>
        <v>436800</v>
      </c>
      <c r="D26" s="2" cm="1">
        <f t="array" ref="D26">SUMPRODUCT((MOD(COLUMN($I26:$FN26)-COLUMN($I26),2)=0)*($I26:$FN26))</f>
        <v>0</v>
      </c>
      <c r="E26" s="6">
        <f t="shared" ref="E26:E41" si="5">C26-D26</f>
        <v>436800</v>
      </c>
      <c r="F26" s="42">
        <f>('Mold Daily Output'!$F$24)*2</f>
        <v>56640</v>
      </c>
      <c r="G26" s="44">
        <f>E26/F26</f>
        <v>7.7118644067796609</v>
      </c>
      <c r="H26" s="2">
        <v>56640</v>
      </c>
      <c r="I26" s="6"/>
      <c r="J26" s="2">
        <v>56640</v>
      </c>
      <c r="K26" s="6"/>
      <c r="L26" s="2">
        <v>56640</v>
      </c>
      <c r="M26" s="6"/>
      <c r="N26" s="2">
        <v>56640</v>
      </c>
      <c r="O26" s="6"/>
      <c r="P26" s="2">
        <v>56640</v>
      </c>
      <c r="Q26" s="6"/>
      <c r="R26" s="2">
        <v>56640</v>
      </c>
      <c r="S26" s="6"/>
      <c r="T26" s="2">
        <v>56640</v>
      </c>
      <c r="U26" s="6"/>
      <c r="V26" s="2">
        <v>40320</v>
      </c>
      <c r="W26" s="6"/>
      <c r="X26" s="2"/>
      <c r="Y26" s="6"/>
      <c r="Z26" s="2"/>
      <c r="AA26" s="6"/>
      <c r="AB26" s="2"/>
      <c r="AC26" s="6"/>
      <c r="AD26" s="2"/>
      <c r="AE26" s="6"/>
      <c r="AF26" s="2"/>
      <c r="AG26" s="6"/>
      <c r="AH26" s="2"/>
      <c r="AI26" s="6"/>
      <c r="AJ26" s="2"/>
      <c r="AK26" s="6"/>
      <c r="AL26" s="2"/>
      <c r="AM26" s="6"/>
      <c r="AN26" s="2"/>
      <c r="AO26" s="6"/>
      <c r="AP26" s="2"/>
      <c r="AQ26" s="6"/>
      <c r="AR26" s="2"/>
      <c r="AS26" s="6"/>
      <c r="AT26" s="2"/>
      <c r="AU26" s="6"/>
      <c r="AV26" s="2"/>
      <c r="AW26" s="6"/>
      <c r="AX26" s="2"/>
      <c r="AY26" s="6"/>
      <c r="AZ26" s="2"/>
      <c r="BA26" s="6"/>
      <c r="BB26" s="2"/>
      <c r="BC26" s="6"/>
      <c r="BD26" s="2"/>
      <c r="BE26" s="6"/>
      <c r="BF26" s="2"/>
      <c r="BG26" s="6"/>
      <c r="BH26" s="2"/>
      <c r="BI26" s="6"/>
      <c r="BJ26" s="2"/>
      <c r="BK26" s="6"/>
      <c r="BL26" s="2"/>
      <c r="BM26" s="6"/>
      <c r="BN26" s="2"/>
      <c r="BO26" s="6"/>
      <c r="BP26" s="2"/>
      <c r="BQ26" s="6"/>
      <c r="BR26" s="2"/>
      <c r="BS26" s="6"/>
      <c r="BT26" s="2"/>
      <c r="BU26" s="6"/>
      <c r="BV26" s="2"/>
      <c r="BW26" s="6"/>
      <c r="BX26" s="2"/>
      <c r="BY26" s="6"/>
      <c r="BZ26" s="2"/>
      <c r="CA26" s="6"/>
      <c r="CB26" s="2"/>
      <c r="CC26" s="6"/>
      <c r="CD26" s="2"/>
      <c r="CE26" s="6"/>
      <c r="CF26" s="2"/>
      <c r="CG26" s="6"/>
      <c r="CH26" s="2"/>
      <c r="CI26" s="6"/>
      <c r="CJ26" s="2"/>
      <c r="CK26" s="6"/>
      <c r="CL26" s="2"/>
      <c r="CM26" s="6"/>
      <c r="CN26" s="2"/>
      <c r="CO26" s="6"/>
      <c r="CP26" s="2"/>
      <c r="CQ26" s="6"/>
      <c r="CR26" s="2"/>
      <c r="CS26" s="6"/>
      <c r="CT26" s="2"/>
      <c r="CU26" s="6"/>
      <c r="CV26" s="2"/>
      <c r="CW26" s="6"/>
      <c r="CX26" s="2"/>
      <c r="CY26" s="6"/>
      <c r="CZ26" s="2"/>
      <c r="DA26" s="6"/>
      <c r="DB26" s="2"/>
      <c r="DC26" s="6"/>
      <c r="DD26" s="2"/>
      <c r="DE26" s="6"/>
    </row>
    <row r="27" spans="1:109" x14ac:dyDescent="0.3">
      <c r="A27" s="3" t="s">
        <v>157</v>
      </c>
      <c r="B27" s="3" t="str">
        <f>_xlfn.XLOOKUP(A27,'Raw Material Requirement'!$A$4:$A$28,'Raw Material Requirement'!$B$4:$B$28)</f>
        <v>Red</v>
      </c>
      <c r="C27" s="6">
        <f>_xlfn.XLOOKUP(A5,'Raw Material Requirement'!$A$4:$A$28,'Raw Material Requirement'!$C$4:$C$28)</f>
        <v>302400</v>
      </c>
      <c r="D27" s="2" cm="1">
        <f t="array" ref="D27">SUMPRODUCT((MOD(COLUMN($I27:$FN27)-COLUMN($I27),2)=0)*($I27:$FN27))</f>
        <v>0</v>
      </c>
      <c r="E27" s="6">
        <f t="shared" si="5"/>
        <v>302400</v>
      </c>
      <c r="F27" s="42">
        <f>('Mold Daily Output'!$F$24)*2</f>
        <v>56640</v>
      </c>
      <c r="G27" s="44">
        <f t="shared" ref="G27:G33" si="6">E27/F27</f>
        <v>5.3389830508474576</v>
      </c>
      <c r="H27" s="2"/>
      <c r="I27" s="6"/>
      <c r="J27" s="2"/>
      <c r="K27" s="6"/>
      <c r="L27" s="2"/>
      <c r="M27" s="6"/>
      <c r="N27" s="2"/>
      <c r="O27" s="6"/>
      <c r="P27" s="2"/>
      <c r="Q27" s="6"/>
      <c r="R27" s="2"/>
      <c r="S27" s="6"/>
      <c r="T27" s="2"/>
      <c r="U27" s="6"/>
      <c r="V27" s="2"/>
      <c r="W27" s="6"/>
      <c r="X27" s="2">
        <v>56640</v>
      </c>
      <c r="Y27" s="6"/>
      <c r="Z27" s="2">
        <v>56640</v>
      </c>
      <c r="AA27" s="6"/>
      <c r="AB27" s="2">
        <v>56640</v>
      </c>
      <c r="AC27" s="6"/>
      <c r="AD27" s="2">
        <v>56640</v>
      </c>
      <c r="AE27" s="6"/>
      <c r="AF27" s="2">
        <v>56640</v>
      </c>
      <c r="AG27" s="6"/>
      <c r="AH27" s="2">
        <v>19200</v>
      </c>
      <c r="AI27" s="6"/>
      <c r="AJ27" s="2"/>
      <c r="AK27" s="6"/>
      <c r="AL27" s="2"/>
      <c r="AM27" s="6"/>
      <c r="AN27" s="2"/>
      <c r="AO27" s="6"/>
      <c r="AP27" s="2"/>
      <c r="AQ27" s="6"/>
      <c r="AR27" s="2"/>
      <c r="AS27" s="6"/>
      <c r="AT27" s="2"/>
      <c r="AU27" s="6"/>
      <c r="AV27" s="2"/>
      <c r="AW27" s="6"/>
      <c r="AX27" s="2"/>
      <c r="AY27" s="6"/>
      <c r="AZ27" s="2"/>
      <c r="BA27" s="6"/>
      <c r="BB27" s="2"/>
      <c r="BC27" s="6"/>
      <c r="BD27" s="2"/>
      <c r="BE27" s="6"/>
      <c r="BF27" s="2"/>
      <c r="BG27" s="6"/>
      <c r="BH27" s="2"/>
      <c r="BI27" s="6"/>
      <c r="BJ27" s="2"/>
      <c r="BK27" s="6"/>
      <c r="BL27" s="2"/>
      <c r="BM27" s="6"/>
      <c r="BN27" s="2"/>
      <c r="BO27" s="6"/>
      <c r="BP27" s="2"/>
      <c r="BQ27" s="6"/>
      <c r="BR27" s="2"/>
      <c r="BS27" s="6"/>
      <c r="BT27" s="2"/>
      <c r="BU27" s="6"/>
      <c r="BV27" s="2"/>
      <c r="BW27" s="6"/>
      <c r="BX27" s="2"/>
      <c r="BY27" s="6"/>
      <c r="BZ27" s="2"/>
      <c r="CA27" s="6"/>
      <c r="CB27" s="2"/>
      <c r="CC27" s="6"/>
      <c r="CD27" s="2"/>
      <c r="CE27" s="6"/>
      <c r="CF27" s="2"/>
      <c r="CG27" s="6"/>
      <c r="CH27" s="2"/>
      <c r="CI27" s="6"/>
      <c r="CJ27" s="2"/>
      <c r="CK27" s="6"/>
      <c r="CL27" s="2"/>
      <c r="CM27" s="6"/>
      <c r="CN27" s="2"/>
      <c r="CO27" s="6"/>
      <c r="CP27" s="2"/>
      <c r="CQ27" s="6"/>
      <c r="CR27" s="2"/>
      <c r="CS27" s="6"/>
      <c r="CT27" s="2"/>
      <c r="CU27" s="6"/>
      <c r="CV27" s="2"/>
      <c r="CW27" s="6"/>
      <c r="CX27" s="2"/>
      <c r="CY27" s="6"/>
      <c r="CZ27" s="2"/>
      <c r="DA27" s="6"/>
      <c r="DB27" s="2"/>
      <c r="DC27" s="6"/>
      <c r="DD27" s="2"/>
      <c r="DE27" s="6"/>
    </row>
    <row r="28" spans="1:109" x14ac:dyDescent="0.3">
      <c r="A28" s="3" t="s">
        <v>159</v>
      </c>
      <c r="B28" s="3" t="str">
        <f>_xlfn.XLOOKUP(A28,'Raw Material Requirement'!$A$4:$A$28,'Raw Material Requirement'!$B$4:$B$28)</f>
        <v>White</v>
      </c>
      <c r="C28" s="6">
        <f>_xlfn.XLOOKUP(A6,'Raw Material Requirement'!$A$4:$A$28,'Raw Material Requirement'!$C$4:$C$28)</f>
        <v>268800</v>
      </c>
      <c r="D28" s="2" cm="1">
        <f t="array" ref="D28">SUMPRODUCT((MOD(COLUMN($I28:$FN28)-COLUMN($I28),2)=0)*($I28:$FN28))</f>
        <v>0</v>
      </c>
      <c r="E28" s="6">
        <f t="shared" si="5"/>
        <v>268800</v>
      </c>
      <c r="F28" s="42">
        <f>('Mold Daily Output'!$F$24)*2</f>
        <v>56640</v>
      </c>
      <c r="G28" s="44">
        <f t="shared" si="6"/>
        <v>4.7457627118644066</v>
      </c>
      <c r="H28" s="2"/>
      <c r="I28" s="6"/>
      <c r="J28" s="2"/>
      <c r="K28" s="6"/>
      <c r="L28" s="2"/>
      <c r="M28" s="6"/>
      <c r="N28" s="2"/>
      <c r="O28" s="6"/>
      <c r="P28" s="2"/>
      <c r="Q28" s="6"/>
      <c r="R28" s="2"/>
      <c r="S28" s="6"/>
      <c r="T28" s="2"/>
      <c r="U28" s="6"/>
      <c r="V28" s="2"/>
      <c r="W28" s="6"/>
      <c r="X28" s="2"/>
      <c r="Y28" s="6"/>
      <c r="Z28" s="2"/>
      <c r="AA28" s="6"/>
      <c r="AB28" s="2"/>
      <c r="AC28" s="6"/>
      <c r="AD28" s="2"/>
      <c r="AE28" s="6"/>
      <c r="AF28" s="2"/>
      <c r="AG28" s="6"/>
      <c r="AH28" s="2"/>
      <c r="AI28" s="6"/>
      <c r="AJ28" s="2">
        <v>56640</v>
      </c>
      <c r="AK28" s="6"/>
      <c r="AL28" s="2">
        <v>56640</v>
      </c>
      <c r="AM28" s="6"/>
      <c r="AN28" s="2">
        <v>56640</v>
      </c>
      <c r="AO28" s="6"/>
      <c r="AP28" s="2">
        <v>56640</v>
      </c>
      <c r="AQ28" s="6"/>
      <c r="AR28" s="2">
        <v>42240</v>
      </c>
      <c r="AS28" s="6"/>
      <c r="AT28" s="2"/>
      <c r="AU28" s="6"/>
      <c r="AV28" s="2"/>
      <c r="AW28" s="6"/>
      <c r="AX28" s="2"/>
      <c r="AY28" s="6"/>
      <c r="AZ28" s="2"/>
      <c r="BA28" s="6"/>
      <c r="BB28" s="2"/>
      <c r="BC28" s="6"/>
      <c r="BD28" s="2"/>
      <c r="BE28" s="6"/>
      <c r="BF28" s="2"/>
      <c r="BG28" s="6"/>
      <c r="BH28" s="2"/>
      <c r="BI28" s="6"/>
      <c r="BJ28" s="2"/>
      <c r="BK28" s="6"/>
      <c r="BL28" s="2"/>
      <c r="BM28" s="6"/>
      <c r="BN28" s="2"/>
      <c r="BO28" s="6"/>
      <c r="BP28" s="2"/>
      <c r="BQ28" s="6"/>
      <c r="BR28" s="2"/>
      <c r="BS28" s="6"/>
      <c r="BT28" s="2"/>
      <c r="BU28" s="6"/>
      <c r="BV28" s="2"/>
      <c r="BW28" s="6"/>
      <c r="BX28" s="2"/>
      <c r="BY28" s="6"/>
      <c r="BZ28" s="2"/>
      <c r="CA28" s="6"/>
      <c r="CB28" s="2"/>
      <c r="CC28" s="6"/>
      <c r="CD28" s="2"/>
      <c r="CE28" s="6"/>
      <c r="CF28" s="2"/>
      <c r="CG28" s="6"/>
      <c r="CH28" s="2"/>
      <c r="CI28" s="6"/>
      <c r="CJ28" s="2"/>
      <c r="CK28" s="6"/>
      <c r="CL28" s="2"/>
      <c r="CM28" s="6"/>
      <c r="CN28" s="2"/>
      <c r="CO28" s="6"/>
      <c r="CP28" s="2"/>
      <c r="CQ28" s="6"/>
      <c r="CR28" s="2"/>
      <c r="CS28" s="6"/>
      <c r="CT28" s="2"/>
      <c r="CU28" s="6"/>
      <c r="CV28" s="2"/>
      <c r="CW28" s="6"/>
      <c r="CX28" s="2"/>
      <c r="CY28" s="6"/>
      <c r="CZ28" s="2"/>
      <c r="DA28" s="6"/>
      <c r="DB28" s="2"/>
      <c r="DC28" s="6"/>
      <c r="DD28" s="2"/>
      <c r="DE28" s="6"/>
    </row>
    <row r="29" spans="1:109" x14ac:dyDescent="0.3">
      <c r="A29" s="3" t="s">
        <v>125</v>
      </c>
      <c r="B29" s="3" t="str">
        <f>_xlfn.XLOOKUP(A29,'Raw Material Requirement'!$A$4:$A$28,'Raw Material Requirement'!$B$4:$B$28)</f>
        <v>Clear</v>
      </c>
      <c r="C29" s="6">
        <f>_xlfn.XLOOKUP(A7,'Raw Material Requirement'!$A$4:$A$28,'Raw Material Requirement'!$I$4:$I$28)</f>
        <v>235200</v>
      </c>
      <c r="D29" s="2" cm="1">
        <f t="array" ref="D29">SUMPRODUCT((MOD(COLUMN($I29:$FN29)-COLUMN($I29),2)=0)*($I29:$FN29))</f>
        <v>0</v>
      </c>
      <c r="E29" s="6">
        <f t="shared" si="5"/>
        <v>235200</v>
      </c>
      <c r="F29" s="42">
        <f>('Mold Daily Output'!$F$24)*2</f>
        <v>56640</v>
      </c>
      <c r="G29" s="44">
        <f t="shared" si="6"/>
        <v>4.1525423728813555</v>
      </c>
      <c r="H29" s="2"/>
      <c r="I29" s="6"/>
      <c r="J29" s="2"/>
      <c r="K29" s="6"/>
      <c r="L29" s="2"/>
      <c r="M29" s="6"/>
      <c r="N29" s="2"/>
      <c r="O29" s="6"/>
      <c r="P29" s="2"/>
      <c r="Q29" s="6"/>
      <c r="R29" s="2"/>
      <c r="S29" s="6"/>
      <c r="T29" s="2"/>
      <c r="U29" s="6"/>
      <c r="V29" s="2"/>
      <c r="W29" s="6"/>
      <c r="X29" s="2"/>
      <c r="Y29" s="6"/>
      <c r="Z29" s="2"/>
      <c r="AA29" s="6"/>
      <c r="AB29" s="2"/>
      <c r="AC29" s="6"/>
      <c r="AD29" s="2"/>
      <c r="AE29" s="6"/>
      <c r="AF29" s="2"/>
      <c r="AG29" s="6"/>
      <c r="AH29" s="2"/>
      <c r="AI29" s="6"/>
      <c r="AJ29" s="2"/>
      <c r="AK29" s="6"/>
      <c r="AL29" s="2"/>
      <c r="AM29" s="6"/>
      <c r="AN29" s="2"/>
      <c r="AO29" s="6"/>
      <c r="AP29" s="2"/>
      <c r="AQ29" s="6"/>
      <c r="AR29" s="2"/>
      <c r="AS29" s="6"/>
      <c r="AT29" s="2">
        <v>56640</v>
      </c>
      <c r="AU29" s="6"/>
      <c r="AV29" s="2">
        <v>56640</v>
      </c>
      <c r="AW29" s="6"/>
      <c r="AX29" s="2">
        <v>56640</v>
      </c>
      <c r="AY29" s="6"/>
      <c r="AZ29" s="2">
        <v>56640</v>
      </c>
      <c r="BA29" s="6"/>
      <c r="BB29" s="2">
        <v>8640</v>
      </c>
      <c r="BC29" s="6"/>
      <c r="BD29" s="2"/>
      <c r="BE29" s="6"/>
      <c r="BF29" s="2"/>
      <c r="BG29" s="6"/>
      <c r="BH29" s="2"/>
      <c r="BI29" s="6"/>
      <c r="BJ29" s="2"/>
      <c r="BK29" s="6"/>
      <c r="BL29" s="2"/>
      <c r="BM29" s="6"/>
      <c r="BN29" s="2"/>
      <c r="BO29" s="6"/>
      <c r="BP29" s="2"/>
      <c r="BQ29" s="6"/>
      <c r="BR29" s="2"/>
      <c r="BS29" s="6"/>
      <c r="BT29" s="2"/>
      <c r="BU29" s="6"/>
      <c r="BV29" s="2"/>
      <c r="BW29" s="6"/>
      <c r="BX29" s="2"/>
      <c r="BY29" s="6"/>
      <c r="BZ29" s="2"/>
      <c r="CA29" s="6"/>
      <c r="CB29" s="2"/>
      <c r="CC29" s="6"/>
      <c r="CD29" s="2"/>
      <c r="CE29" s="6"/>
      <c r="CF29" s="2"/>
      <c r="CG29" s="6"/>
      <c r="CH29" s="2"/>
      <c r="CI29" s="6"/>
      <c r="CJ29" s="2"/>
      <c r="CK29" s="6"/>
      <c r="CL29" s="2"/>
      <c r="CM29" s="6"/>
      <c r="CN29" s="2"/>
      <c r="CO29" s="6"/>
      <c r="CP29" s="2"/>
      <c r="CQ29" s="6"/>
      <c r="CR29" s="2"/>
      <c r="CS29" s="6"/>
      <c r="CT29" s="2"/>
      <c r="CU29" s="6"/>
      <c r="CV29" s="2"/>
      <c r="CW29" s="6"/>
      <c r="CX29" s="2"/>
      <c r="CY29" s="6"/>
      <c r="CZ29" s="2"/>
      <c r="DA29" s="6"/>
      <c r="DB29" s="2"/>
      <c r="DC29" s="6"/>
      <c r="DD29" s="2"/>
      <c r="DE29" s="6"/>
    </row>
    <row r="30" spans="1:109" x14ac:dyDescent="0.3">
      <c r="A30" s="3" t="s">
        <v>156</v>
      </c>
      <c r="B30" s="3" t="str">
        <f>_xlfn.XLOOKUP(A30,'Raw Material Requirement'!$A$4:$A$28,'Raw Material Requirement'!$B$4:$B$28)</f>
        <v>Navy</v>
      </c>
      <c r="C30" s="6">
        <f>_xlfn.XLOOKUP(A8,'Raw Material Requirement'!$A$4:$A$28,'Raw Material Requirement'!$C$4:$C$28)</f>
        <v>201600</v>
      </c>
      <c r="D30" s="2" cm="1">
        <f t="array" ref="D30">SUMPRODUCT((MOD(COLUMN($I30:$FN30)-COLUMN($I30),2)=0)*($I30:$FN30))</f>
        <v>0</v>
      </c>
      <c r="E30" s="6">
        <f t="shared" si="5"/>
        <v>201600</v>
      </c>
      <c r="F30" s="42">
        <f>('Mold Daily Output'!$F$24)*2</f>
        <v>56640</v>
      </c>
      <c r="G30" s="44">
        <f t="shared" si="6"/>
        <v>3.5593220338983049</v>
      </c>
      <c r="H30" s="2"/>
      <c r="I30" s="6"/>
      <c r="J30" s="2"/>
      <c r="K30" s="6"/>
      <c r="L30" s="2"/>
      <c r="M30" s="6"/>
      <c r="N30" s="2"/>
      <c r="O30" s="6"/>
      <c r="P30" s="2"/>
      <c r="Q30" s="6"/>
      <c r="R30" s="2"/>
      <c r="S30" s="6"/>
      <c r="T30" s="2"/>
      <c r="U30" s="6"/>
      <c r="V30" s="2"/>
      <c r="W30" s="6"/>
      <c r="X30" s="2"/>
      <c r="Y30" s="6"/>
      <c r="Z30" s="2"/>
      <c r="AA30" s="6"/>
      <c r="AB30" s="2"/>
      <c r="AC30" s="6"/>
      <c r="AD30" s="2"/>
      <c r="AE30" s="6"/>
      <c r="AF30" s="2"/>
      <c r="AG30" s="6"/>
      <c r="AH30" s="2"/>
      <c r="AI30" s="6"/>
      <c r="AJ30" s="2"/>
      <c r="AK30" s="6"/>
      <c r="AL30" s="2"/>
      <c r="AM30" s="6"/>
      <c r="AN30" s="2"/>
      <c r="AO30" s="6"/>
      <c r="AP30" s="2"/>
      <c r="AQ30" s="6"/>
      <c r="AR30" s="2"/>
      <c r="AS30" s="6"/>
      <c r="AT30" s="2"/>
      <c r="AU30" s="6"/>
      <c r="AV30" s="2"/>
      <c r="AW30" s="6"/>
      <c r="AX30" s="2"/>
      <c r="AY30" s="6"/>
      <c r="AZ30" s="2"/>
      <c r="BA30" s="6"/>
      <c r="BB30" s="2"/>
      <c r="BC30" s="6"/>
      <c r="BD30" s="2">
        <v>56640</v>
      </c>
      <c r="BE30" s="6"/>
      <c r="BF30" s="2">
        <v>56640</v>
      </c>
      <c r="BG30" s="6"/>
      <c r="BH30" s="2">
        <v>56640</v>
      </c>
      <c r="BI30" s="6"/>
      <c r="BJ30" s="2">
        <v>31680</v>
      </c>
      <c r="BK30" s="6"/>
      <c r="BL30" s="2"/>
      <c r="BM30" s="6"/>
      <c r="BN30" s="2"/>
      <c r="BO30" s="6"/>
      <c r="BP30" s="2"/>
      <c r="BQ30" s="6"/>
      <c r="BR30" s="2"/>
      <c r="BS30" s="6"/>
      <c r="BT30" s="2"/>
      <c r="BU30" s="6"/>
      <c r="BV30" s="2"/>
      <c r="BW30" s="6"/>
      <c r="BX30" s="2"/>
      <c r="BY30" s="6"/>
      <c r="BZ30" s="2"/>
      <c r="CA30" s="6"/>
      <c r="CB30" s="2"/>
      <c r="CC30" s="6"/>
      <c r="CD30" s="2"/>
      <c r="CE30" s="6"/>
      <c r="CF30" s="2"/>
      <c r="CG30" s="6"/>
      <c r="CH30" s="2"/>
      <c r="CI30" s="6"/>
      <c r="CJ30" s="2"/>
      <c r="CK30" s="6"/>
      <c r="CL30" s="2"/>
      <c r="CM30" s="6"/>
      <c r="CN30" s="2"/>
      <c r="CO30" s="6"/>
      <c r="CP30" s="2"/>
      <c r="CQ30" s="6"/>
      <c r="CR30" s="2"/>
      <c r="CS30" s="6"/>
      <c r="CT30" s="2"/>
      <c r="CU30" s="6"/>
      <c r="CV30" s="2"/>
      <c r="CW30" s="6"/>
      <c r="CX30" s="2"/>
      <c r="CY30" s="6"/>
      <c r="CZ30" s="2"/>
      <c r="DA30" s="6"/>
      <c r="DB30" s="2"/>
      <c r="DC30" s="6"/>
      <c r="DD30" s="2"/>
      <c r="DE30" s="6"/>
    </row>
    <row r="31" spans="1:109" x14ac:dyDescent="0.3">
      <c r="A31" s="3" t="s">
        <v>158</v>
      </c>
      <c r="B31" s="3" t="str">
        <f>_xlfn.XLOOKUP(A31,'Raw Material Requirement'!$A$4:$A$28,'Raw Material Requirement'!$B$4:$B$28)</f>
        <v>Royal</v>
      </c>
      <c r="C31" s="6">
        <f>_xlfn.XLOOKUP(A9,'Raw Material Requirement'!$A$4:$A$28,'Raw Material Requirement'!$C$4:$C$28)</f>
        <v>201600</v>
      </c>
      <c r="D31" s="2" cm="1">
        <f t="array" ref="D31">SUMPRODUCT((MOD(COLUMN($I31:$FN31)-COLUMN($I31),2)=0)*($I31:$FN31))</f>
        <v>0</v>
      </c>
      <c r="E31" s="6">
        <f t="shared" si="5"/>
        <v>201600</v>
      </c>
      <c r="F31" s="42">
        <f>('Mold Daily Output'!$F$24)*2</f>
        <v>56640</v>
      </c>
      <c r="G31" s="44">
        <f t="shared" si="6"/>
        <v>3.5593220338983049</v>
      </c>
      <c r="H31" s="2"/>
      <c r="I31" s="6"/>
      <c r="J31" s="2"/>
      <c r="K31" s="6"/>
      <c r="L31" s="2"/>
      <c r="M31" s="6"/>
      <c r="N31" s="2"/>
      <c r="O31" s="6"/>
      <c r="P31" s="2"/>
      <c r="Q31" s="6"/>
      <c r="R31" s="2"/>
      <c r="S31" s="6"/>
      <c r="T31" s="2"/>
      <c r="U31" s="6"/>
      <c r="V31" s="2"/>
      <c r="W31" s="6"/>
      <c r="X31" s="2"/>
      <c r="Y31" s="6"/>
      <c r="Z31" s="2"/>
      <c r="AA31" s="6"/>
      <c r="AB31" s="2"/>
      <c r="AC31" s="6"/>
      <c r="AD31" s="2"/>
      <c r="AE31" s="6"/>
      <c r="AF31" s="2"/>
      <c r="AG31" s="6"/>
      <c r="AH31" s="2"/>
      <c r="AI31" s="6"/>
      <c r="AJ31" s="2"/>
      <c r="AK31" s="6"/>
      <c r="AL31" s="2"/>
      <c r="AM31" s="6"/>
      <c r="AN31" s="2"/>
      <c r="AO31" s="6"/>
      <c r="AP31" s="2"/>
      <c r="AQ31" s="6"/>
      <c r="AR31" s="2"/>
      <c r="AS31" s="6"/>
      <c r="AT31" s="2"/>
      <c r="AU31" s="6"/>
      <c r="AV31" s="2"/>
      <c r="AW31" s="6"/>
      <c r="AX31" s="2"/>
      <c r="AY31" s="6"/>
      <c r="AZ31" s="2"/>
      <c r="BA31" s="6"/>
      <c r="BB31" s="2"/>
      <c r="BC31" s="6"/>
      <c r="BD31" s="2"/>
      <c r="BE31" s="6"/>
      <c r="BF31" s="2"/>
      <c r="BG31" s="6"/>
      <c r="BH31" s="2"/>
      <c r="BI31" s="6"/>
      <c r="BJ31" s="2">
        <v>20000</v>
      </c>
      <c r="BK31" s="6"/>
      <c r="BL31" s="2">
        <v>56640</v>
      </c>
      <c r="BM31" s="6"/>
      <c r="BN31" s="2">
        <v>56640</v>
      </c>
      <c r="BO31" s="6"/>
      <c r="BP31" s="2">
        <v>56640</v>
      </c>
      <c r="BQ31" s="6"/>
      <c r="BR31" s="2">
        <v>11680</v>
      </c>
      <c r="BS31" s="6"/>
      <c r="BT31" s="2"/>
      <c r="BU31" s="6"/>
      <c r="BV31" s="2"/>
      <c r="BW31" s="6"/>
      <c r="BX31" s="2"/>
      <c r="BY31" s="6"/>
      <c r="BZ31" s="2"/>
      <c r="CA31" s="6"/>
      <c r="CB31" s="2"/>
      <c r="CC31" s="6"/>
      <c r="CD31" s="2"/>
      <c r="CE31" s="6"/>
      <c r="CF31" s="2"/>
      <c r="CG31" s="6"/>
      <c r="CH31" s="2"/>
      <c r="CI31" s="6"/>
      <c r="CJ31" s="2"/>
      <c r="CK31" s="6"/>
      <c r="CL31" s="2"/>
      <c r="CM31" s="6"/>
      <c r="CN31" s="2"/>
      <c r="CO31" s="6"/>
      <c r="CP31" s="2"/>
      <c r="CQ31" s="6"/>
      <c r="CR31" s="2"/>
      <c r="CS31" s="6"/>
      <c r="CT31" s="2"/>
      <c r="CU31" s="6"/>
      <c r="CV31" s="2"/>
      <c r="CW31" s="6"/>
      <c r="CX31" s="2"/>
      <c r="CY31" s="6"/>
      <c r="CZ31" s="2"/>
      <c r="DA31" s="6"/>
      <c r="DB31" s="2"/>
      <c r="DC31" s="6"/>
      <c r="DD31" s="2"/>
      <c r="DE31" s="6"/>
    </row>
    <row r="32" spans="1:109" x14ac:dyDescent="0.3">
      <c r="A32" s="3" t="s">
        <v>160</v>
      </c>
      <c r="B32" s="3" t="str">
        <f>_xlfn.XLOOKUP(A32,'Raw Material Requirement'!$A$4:$A$28,'Raw Material Requirement'!$B$4:$B$28)</f>
        <v>Blue</v>
      </c>
      <c r="C32" s="6">
        <f>_xlfn.XLOOKUP(A10,'Raw Material Requirement'!$A$4:$A$28,'Raw Material Requirement'!$C$4:$C$28)</f>
        <v>100800</v>
      </c>
      <c r="D32" s="2" cm="1">
        <f t="array" ref="D32">SUMPRODUCT((MOD(COLUMN($I32:$FN32)-COLUMN($I32),2)=0)*($I32:$FN32))</f>
        <v>0</v>
      </c>
      <c r="E32" s="6">
        <f t="shared" si="5"/>
        <v>100800</v>
      </c>
      <c r="F32" s="42">
        <f>('Mold Daily Output'!$F$24)*2</f>
        <v>56640</v>
      </c>
      <c r="G32" s="44">
        <f t="shared" si="6"/>
        <v>1.7796610169491525</v>
      </c>
      <c r="H32" s="2"/>
      <c r="I32" s="6"/>
      <c r="J32" s="2"/>
      <c r="K32" s="6"/>
      <c r="L32" s="2"/>
      <c r="M32" s="6"/>
      <c r="N32" s="2"/>
      <c r="O32" s="6"/>
      <c r="P32" s="2"/>
      <c r="Q32" s="6"/>
      <c r="R32" s="2"/>
      <c r="S32" s="6"/>
      <c r="T32" s="2"/>
      <c r="U32" s="6"/>
      <c r="V32" s="2"/>
      <c r="W32" s="6"/>
      <c r="X32" s="2"/>
      <c r="Y32" s="6"/>
      <c r="Z32" s="2"/>
      <c r="AA32" s="6"/>
      <c r="AB32" s="2"/>
      <c r="AC32" s="6"/>
      <c r="AD32" s="2"/>
      <c r="AE32" s="6"/>
      <c r="AF32" s="2"/>
      <c r="AG32" s="6"/>
      <c r="AH32" s="2"/>
      <c r="AI32" s="6"/>
      <c r="AJ32" s="2"/>
      <c r="AK32" s="6"/>
      <c r="AL32" s="2"/>
      <c r="AM32" s="6"/>
      <c r="AN32" s="2"/>
      <c r="AO32" s="6"/>
      <c r="AP32" s="2"/>
      <c r="AQ32" s="6"/>
      <c r="AR32" s="2"/>
      <c r="AS32" s="6"/>
      <c r="AT32" s="2"/>
      <c r="AU32" s="6"/>
      <c r="AV32" s="2"/>
      <c r="AW32" s="6"/>
      <c r="AX32" s="2"/>
      <c r="AY32" s="6"/>
      <c r="AZ32" s="2"/>
      <c r="BA32" s="6"/>
      <c r="BB32" s="2"/>
      <c r="BC32" s="6"/>
      <c r="BD32" s="2"/>
      <c r="BE32" s="6"/>
      <c r="BF32" s="2"/>
      <c r="BG32" s="6"/>
      <c r="BH32" s="2"/>
      <c r="BI32" s="6"/>
      <c r="BJ32" s="2"/>
      <c r="BK32" s="6"/>
      <c r="BL32" s="2"/>
      <c r="BM32" s="6"/>
      <c r="BN32" s="2"/>
      <c r="BO32" s="6"/>
      <c r="BP32" s="2"/>
      <c r="BQ32" s="6"/>
      <c r="BR32" s="2">
        <v>40000</v>
      </c>
      <c r="BS32" s="6"/>
      <c r="BT32" s="2">
        <v>56640</v>
      </c>
      <c r="BU32" s="6"/>
      <c r="BV32" s="2">
        <v>4160</v>
      </c>
      <c r="BW32" s="6"/>
      <c r="BX32" s="2"/>
      <c r="BY32" s="6"/>
      <c r="BZ32" s="2"/>
      <c r="CA32" s="6"/>
      <c r="CB32" s="2"/>
      <c r="CC32" s="6"/>
      <c r="CD32" s="2"/>
      <c r="CE32" s="6"/>
      <c r="CF32" s="2"/>
      <c r="CG32" s="6"/>
      <c r="CH32" s="2"/>
      <c r="CI32" s="6"/>
      <c r="CJ32" s="2"/>
      <c r="CK32" s="6"/>
      <c r="CL32" s="2"/>
      <c r="CM32" s="6"/>
      <c r="CN32" s="2"/>
      <c r="CO32" s="6"/>
      <c r="CP32" s="2"/>
      <c r="CQ32" s="6"/>
      <c r="CR32" s="2"/>
      <c r="CS32" s="6"/>
      <c r="CT32" s="2"/>
      <c r="CU32" s="6"/>
      <c r="CV32" s="2"/>
      <c r="CW32" s="6"/>
      <c r="CX32" s="2"/>
      <c r="CY32" s="6"/>
      <c r="CZ32" s="2"/>
      <c r="DA32" s="6"/>
      <c r="DB32" s="2"/>
      <c r="DC32" s="6"/>
      <c r="DD32" s="2"/>
      <c r="DE32" s="6"/>
    </row>
    <row r="33" spans="1:109" ht="15" thickBot="1" x14ac:dyDescent="0.35">
      <c r="A33" s="3" t="s">
        <v>163</v>
      </c>
      <c r="B33" s="3" t="str">
        <f>_xlfn.XLOOKUP(A33,'Raw Material Requirement'!$A$4:$A$28,'Raw Material Requirement'!$B$4:$B$28)</f>
        <v>Red</v>
      </c>
      <c r="C33" s="6">
        <f>_xlfn.XLOOKUP(A11,'Raw Material Requirement'!$A$4:$A$28,'Raw Material Requirement'!$C$4:$C$28)</f>
        <v>67200</v>
      </c>
      <c r="D33" s="2" cm="1">
        <f t="array" ref="D33">SUMPRODUCT((MOD(COLUMN($I33:$FN33)-COLUMN($I33),2)=0)*($I33:$FN33))</f>
        <v>0</v>
      </c>
      <c r="E33" s="7">
        <f t="shared" si="5"/>
        <v>67200</v>
      </c>
      <c r="F33" s="42">
        <f>('Mold Daily Output'!$F$24)*2</f>
        <v>56640</v>
      </c>
      <c r="G33" s="45">
        <f t="shared" si="6"/>
        <v>1.1864406779661016</v>
      </c>
      <c r="H33" s="4"/>
      <c r="I33" s="7"/>
      <c r="J33" s="4"/>
      <c r="K33" s="7"/>
      <c r="L33" s="4"/>
      <c r="M33" s="7"/>
      <c r="N33" s="4"/>
      <c r="O33" s="7"/>
      <c r="P33" s="4"/>
      <c r="Q33" s="7"/>
      <c r="R33" s="4"/>
      <c r="S33" s="7"/>
      <c r="T33" s="4"/>
      <c r="U33" s="7"/>
      <c r="V33" s="4"/>
      <c r="W33" s="7"/>
      <c r="X33" s="4"/>
      <c r="Y33" s="7"/>
      <c r="Z33" s="4"/>
      <c r="AA33" s="7"/>
      <c r="AB33" s="4"/>
      <c r="AC33" s="7"/>
      <c r="AD33" s="4"/>
      <c r="AE33" s="7"/>
      <c r="AF33" s="4"/>
      <c r="AG33" s="7"/>
      <c r="AH33" s="4"/>
      <c r="AI33" s="7"/>
      <c r="AJ33" s="4"/>
      <c r="AK33" s="7"/>
      <c r="AL33" s="4"/>
      <c r="AM33" s="7"/>
      <c r="AN33" s="4"/>
      <c r="AO33" s="7"/>
      <c r="AP33" s="4"/>
      <c r="AQ33" s="7"/>
      <c r="AR33" s="4"/>
      <c r="AS33" s="7"/>
      <c r="AT33" s="4"/>
      <c r="AU33" s="7"/>
      <c r="AV33" s="4"/>
      <c r="AW33" s="7"/>
      <c r="AX33" s="4"/>
      <c r="AY33" s="7"/>
      <c r="AZ33" s="4"/>
      <c r="BA33" s="7"/>
      <c r="BB33" s="4"/>
      <c r="BC33" s="7"/>
      <c r="BD33" s="4"/>
      <c r="BE33" s="7"/>
      <c r="BF33" s="4"/>
      <c r="BG33" s="7"/>
      <c r="BH33" s="4"/>
      <c r="BI33" s="7"/>
      <c r="BJ33" s="4"/>
      <c r="BK33" s="7"/>
      <c r="BL33" s="4"/>
      <c r="BM33" s="7"/>
      <c r="BN33" s="4"/>
      <c r="BO33" s="7"/>
      <c r="BP33" s="4"/>
      <c r="BQ33" s="7"/>
      <c r="BR33" s="4"/>
      <c r="BS33" s="7"/>
      <c r="BT33" s="4"/>
      <c r="BU33" s="7"/>
      <c r="BV33" s="4">
        <v>10560</v>
      </c>
      <c r="BW33" s="7"/>
      <c r="BX33" s="4">
        <v>56640</v>
      </c>
      <c r="BY33" s="7"/>
      <c r="BZ33" s="4"/>
      <c r="CA33" s="7"/>
      <c r="CB33" s="4"/>
      <c r="CC33" s="7"/>
      <c r="CD33" s="4"/>
      <c r="CE33" s="7"/>
      <c r="CF33" s="4"/>
      <c r="CG33" s="7"/>
      <c r="CH33" s="4"/>
      <c r="CI33" s="7"/>
      <c r="CJ33" s="4"/>
      <c r="CK33" s="7"/>
      <c r="CL33" s="4"/>
      <c r="CM33" s="7"/>
      <c r="CN33" s="4"/>
      <c r="CO33" s="7"/>
      <c r="CP33" s="4"/>
      <c r="CQ33" s="7"/>
      <c r="CR33" s="4"/>
      <c r="CS33" s="7"/>
      <c r="CT33" s="4"/>
      <c r="CU33" s="7"/>
      <c r="CV33" s="4"/>
      <c r="CW33" s="7"/>
      <c r="CX33" s="4"/>
      <c r="CY33" s="7"/>
      <c r="CZ33" s="4"/>
      <c r="DA33" s="7"/>
      <c r="DB33" s="4"/>
      <c r="DC33" s="7"/>
      <c r="DD33" s="4"/>
      <c r="DE33" s="7"/>
    </row>
    <row r="34" spans="1:109" x14ac:dyDescent="0.3">
      <c r="A34" s="2" t="s">
        <v>161</v>
      </c>
      <c r="B34" s="3" t="str">
        <f>_xlfn.XLOOKUP(A34,'Raw Material Requirement'!$A$4:$A$28,'Raw Material Requirement'!$B$4:$B$28)</f>
        <v>Lime</v>
      </c>
      <c r="C34" s="6">
        <f>_xlfn.XLOOKUP(A12,'Raw Material Requirement'!$A$4:$A$28,'Raw Material Requirement'!$C$4:$C$28)</f>
        <v>50400</v>
      </c>
      <c r="D34" s="2" cm="1">
        <f t="array" ref="D34">SUMPRODUCT((MOD(COLUMN($I34:$FN34)-COLUMN($I34),2)=0)*($I34:$FN34))</f>
        <v>0</v>
      </c>
      <c r="E34" s="6">
        <f t="shared" si="5"/>
        <v>50400</v>
      </c>
      <c r="F34" s="42">
        <f>('Mold Daily Output'!$F$24)*2</f>
        <v>56640</v>
      </c>
      <c r="G34" s="44">
        <f t="shared" ref="G34:G41" si="7">E34/F34</f>
        <v>0.88983050847457623</v>
      </c>
      <c r="H34" s="2"/>
      <c r="I34" s="6"/>
      <c r="J34" s="2"/>
      <c r="K34" s="6"/>
      <c r="L34" s="2"/>
      <c r="M34" s="6"/>
      <c r="N34" s="2"/>
      <c r="O34" s="6"/>
      <c r="P34" s="2"/>
      <c r="Q34" s="6"/>
      <c r="R34" s="2"/>
      <c r="S34" s="6"/>
      <c r="T34" s="2"/>
      <c r="U34" s="6"/>
      <c r="V34" s="2"/>
      <c r="W34" s="6"/>
      <c r="X34" s="2"/>
      <c r="Y34" s="6"/>
      <c r="Z34" s="2"/>
      <c r="AA34" s="6"/>
      <c r="AB34" s="2"/>
      <c r="AC34" s="6"/>
      <c r="AD34" s="2"/>
      <c r="AE34" s="6"/>
      <c r="AF34" s="2"/>
      <c r="AG34" s="6"/>
      <c r="AH34" s="2"/>
      <c r="AI34" s="6"/>
      <c r="AJ34" s="2"/>
      <c r="AK34" s="6"/>
      <c r="AL34" s="2"/>
      <c r="AM34" s="6"/>
      <c r="AN34" s="2"/>
      <c r="AO34" s="6"/>
      <c r="AP34" s="2"/>
      <c r="AQ34" s="6"/>
      <c r="AR34" s="2"/>
      <c r="AS34" s="6"/>
      <c r="AT34" s="2"/>
      <c r="AU34" s="6"/>
      <c r="AV34" s="2"/>
      <c r="AW34" s="6"/>
      <c r="AX34" s="2"/>
      <c r="AY34" s="6"/>
      <c r="AZ34" s="2"/>
      <c r="BA34" s="6"/>
      <c r="BB34" s="2"/>
      <c r="BC34" s="6"/>
      <c r="BD34" s="2"/>
      <c r="BE34" s="6"/>
      <c r="BF34" s="2"/>
      <c r="BG34" s="6"/>
      <c r="BH34" s="2"/>
      <c r="BI34" s="6"/>
      <c r="BJ34" s="2"/>
      <c r="BK34" s="6"/>
      <c r="BL34" s="2"/>
      <c r="BM34" s="6"/>
      <c r="BN34" s="2"/>
      <c r="BO34" s="6"/>
      <c r="BP34" s="2"/>
      <c r="BQ34" s="6"/>
      <c r="BR34" s="2"/>
      <c r="BS34" s="6"/>
      <c r="BT34" s="2"/>
      <c r="BU34" s="6"/>
      <c r="BV34" s="2"/>
      <c r="BW34" s="6"/>
      <c r="BX34" s="2"/>
      <c r="BY34" s="6"/>
      <c r="BZ34" s="2">
        <v>50400</v>
      </c>
      <c r="CA34" s="6"/>
      <c r="CB34" s="2"/>
      <c r="CC34" s="6"/>
      <c r="CD34" s="2"/>
      <c r="CE34" s="6"/>
      <c r="CF34" s="2"/>
      <c r="CG34" s="6"/>
      <c r="CH34" s="2"/>
      <c r="CI34" s="6"/>
      <c r="CJ34" s="2"/>
      <c r="CK34" s="6"/>
      <c r="CL34" s="2"/>
      <c r="CM34" s="6"/>
      <c r="CN34" s="2"/>
      <c r="CO34" s="6"/>
      <c r="CP34" s="2"/>
      <c r="CQ34" s="6"/>
      <c r="CR34" s="2"/>
      <c r="CS34" s="6"/>
      <c r="CT34" s="2"/>
      <c r="CU34" s="6"/>
      <c r="CV34" s="2"/>
      <c r="CW34" s="6"/>
      <c r="CX34" s="2"/>
      <c r="CY34" s="6"/>
      <c r="CZ34" s="2"/>
      <c r="DA34" s="6"/>
      <c r="DB34" s="2"/>
      <c r="DC34" s="6"/>
      <c r="DD34" s="2"/>
      <c r="DE34" s="6"/>
    </row>
    <row r="35" spans="1:109" x14ac:dyDescent="0.3">
      <c r="A35" s="2" t="s">
        <v>162</v>
      </c>
      <c r="B35" s="3" t="str">
        <f>_xlfn.XLOOKUP(A35,'Raw Material Requirement'!$A$4:$A$28,'Raw Material Requirement'!$B$4:$B$28)</f>
        <v>Orange</v>
      </c>
      <c r="C35" s="6">
        <f>_xlfn.XLOOKUP(A13,'Raw Material Requirement'!$A$4:$A$28,'Raw Material Requirement'!$C$4:$C$28)</f>
        <v>50400</v>
      </c>
      <c r="D35" s="2" cm="1">
        <f t="array" ref="D35">SUMPRODUCT((MOD(COLUMN($I35:$FN35)-COLUMN($I35),2)=0)*($I35:$FN35))</f>
        <v>0</v>
      </c>
      <c r="E35" s="6">
        <f t="shared" si="5"/>
        <v>50400</v>
      </c>
      <c r="F35" s="42">
        <f>('Mold Daily Output'!$F$24)*2</f>
        <v>56640</v>
      </c>
      <c r="G35" s="44">
        <f t="shared" si="7"/>
        <v>0.88983050847457623</v>
      </c>
      <c r="H35" s="2"/>
      <c r="I35" s="6"/>
      <c r="J35" s="2"/>
      <c r="K35" s="6"/>
      <c r="L35" s="2"/>
      <c r="M35" s="6"/>
      <c r="N35" s="2"/>
      <c r="O35" s="6"/>
      <c r="P35" s="2"/>
      <c r="Q35" s="6"/>
      <c r="R35" s="2"/>
      <c r="S35" s="6"/>
      <c r="T35" s="2"/>
      <c r="U35" s="6"/>
      <c r="V35" s="2"/>
      <c r="W35" s="6"/>
      <c r="X35" s="2"/>
      <c r="Y35" s="6"/>
      <c r="Z35" s="2"/>
      <c r="AA35" s="6"/>
      <c r="AB35" s="2"/>
      <c r="AC35" s="6"/>
      <c r="AD35" s="2"/>
      <c r="AE35" s="6"/>
      <c r="AF35" s="2"/>
      <c r="AG35" s="6"/>
      <c r="AH35" s="2"/>
      <c r="AI35" s="6"/>
      <c r="AJ35" s="2"/>
      <c r="AK35" s="6"/>
      <c r="AL35" s="2"/>
      <c r="AM35" s="6"/>
      <c r="AN35" s="2"/>
      <c r="AO35" s="6"/>
      <c r="AP35" s="2"/>
      <c r="AQ35" s="6"/>
      <c r="AR35" s="2"/>
      <c r="AS35" s="6"/>
      <c r="AT35" s="2"/>
      <c r="AU35" s="6"/>
      <c r="AV35" s="2"/>
      <c r="AW35" s="6"/>
      <c r="AX35" s="2"/>
      <c r="AY35" s="6"/>
      <c r="AZ35" s="2"/>
      <c r="BA35" s="6"/>
      <c r="BB35" s="2"/>
      <c r="BC35" s="6"/>
      <c r="BD35" s="2"/>
      <c r="BE35" s="6"/>
      <c r="BF35" s="2"/>
      <c r="BG35" s="6"/>
      <c r="BH35" s="2"/>
      <c r="BI35" s="6"/>
      <c r="BJ35" s="2"/>
      <c r="BK35" s="6"/>
      <c r="BL35" s="2"/>
      <c r="BM35" s="6"/>
      <c r="BN35" s="2"/>
      <c r="BO35" s="6"/>
      <c r="BP35" s="2"/>
      <c r="BQ35" s="6"/>
      <c r="BR35" s="2"/>
      <c r="BS35" s="6"/>
      <c r="BT35" s="2"/>
      <c r="BU35" s="6"/>
      <c r="BV35" s="2"/>
      <c r="BW35" s="6"/>
      <c r="BX35" s="2"/>
      <c r="BY35" s="6"/>
      <c r="BZ35" s="2"/>
      <c r="CA35" s="6"/>
      <c r="CB35" s="2">
        <v>50400</v>
      </c>
      <c r="CC35" s="6"/>
      <c r="CD35" s="2"/>
      <c r="CE35" s="6"/>
      <c r="CF35" s="2"/>
      <c r="CG35" s="6"/>
      <c r="CH35" s="2"/>
      <c r="CI35" s="6"/>
      <c r="CJ35" s="2"/>
      <c r="CK35" s="6"/>
      <c r="CL35" s="2"/>
      <c r="CM35" s="6"/>
      <c r="CN35" s="2"/>
      <c r="CO35" s="6"/>
      <c r="CP35" s="2"/>
      <c r="CQ35" s="6"/>
      <c r="CR35" s="2"/>
      <c r="CS35" s="6"/>
      <c r="CT35" s="2"/>
      <c r="CU35" s="6"/>
      <c r="CV35" s="2"/>
      <c r="CW35" s="6"/>
      <c r="CX35" s="2"/>
      <c r="CY35" s="6"/>
      <c r="CZ35" s="2"/>
      <c r="DA35" s="6"/>
      <c r="DB35" s="2"/>
      <c r="DC35" s="6"/>
      <c r="DD35" s="2"/>
      <c r="DE35" s="6"/>
    </row>
    <row r="36" spans="1:109" x14ac:dyDescent="0.3">
      <c r="A36" s="2" t="s">
        <v>166</v>
      </c>
      <c r="B36" s="3" t="str">
        <f>_xlfn.XLOOKUP(A36,'Raw Material Requirement'!$A$4:$A$28,'Raw Material Requirement'!$B$4:$B$28)</f>
        <v>Light Blue</v>
      </c>
      <c r="C36" s="6">
        <f>_xlfn.XLOOKUP(A14,'Raw Material Requirement'!$A$4:$A$28,'Raw Material Requirement'!$C$4:$C$28)</f>
        <v>50400</v>
      </c>
      <c r="D36" s="2" cm="1">
        <f t="array" ref="D36">SUMPRODUCT((MOD(COLUMN($I36:$FN36)-COLUMN($I36),2)=0)*($I36:$FN36))</f>
        <v>0</v>
      </c>
      <c r="E36" s="6">
        <f t="shared" si="5"/>
        <v>50400</v>
      </c>
      <c r="F36" s="42">
        <f>('Mold Daily Output'!$F$24)*2</f>
        <v>56640</v>
      </c>
      <c r="G36" s="44">
        <f t="shared" si="7"/>
        <v>0.88983050847457623</v>
      </c>
      <c r="H36" s="2"/>
      <c r="I36" s="6"/>
      <c r="J36" s="2"/>
      <c r="K36" s="6"/>
      <c r="L36" s="2"/>
      <c r="M36" s="6"/>
      <c r="N36" s="2"/>
      <c r="O36" s="6"/>
      <c r="P36" s="2"/>
      <c r="Q36" s="6"/>
      <c r="R36" s="2"/>
      <c r="S36" s="6"/>
      <c r="T36" s="2"/>
      <c r="U36" s="6"/>
      <c r="V36" s="2"/>
      <c r="W36" s="6"/>
      <c r="X36" s="2"/>
      <c r="Y36" s="6"/>
      <c r="Z36" s="2"/>
      <c r="AA36" s="6"/>
      <c r="AB36" s="2"/>
      <c r="AC36" s="6"/>
      <c r="AD36" s="2"/>
      <c r="AE36" s="6"/>
      <c r="AF36" s="2"/>
      <c r="AG36" s="6"/>
      <c r="AH36" s="2"/>
      <c r="AI36" s="6"/>
      <c r="AJ36" s="2"/>
      <c r="AK36" s="6"/>
      <c r="AL36" s="2"/>
      <c r="AM36" s="6"/>
      <c r="AN36" s="2"/>
      <c r="AO36" s="6"/>
      <c r="AP36" s="2"/>
      <c r="AQ36" s="6"/>
      <c r="AR36" s="2"/>
      <c r="AS36" s="6"/>
      <c r="AT36" s="2"/>
      <c r="AU36" s="6"/>
      <c r="AV36" s="2"/>
      <c r="AW36" s="6"/>
      <c r="AX36" s="2"/>
      <c r="AY36" s="6"/>
      <c r="AZ36" s="2"/>
      <c r="BA36" s="6"/>
      <c r="BB36" s="2"/>
      <c r="BC36" s="6"/>
      <c r="BD36" s="2"/>
      <c r="BE36" s="6"/>
      <c r="BF36" s="2"/>
      <c r="BG36" s="6"/>
      <c r="BH36" s="2"/>
      <c r="BI36" s="6"/>
      <c r="BJ36" s="2"/>
      <c r="BK36" s="6"/>
      <c r="BL36" s="2"/>
      <c r="BM36" s="6"/>
      <c r="BN36" s="2"/>
      <c r="BO36" s="6"/>
      <c r="BP36" s="2"/>
      <c r="BQ36" s="6"/>
      <c r="BR36" s="2"/>
      <c r="BS36" s="6"/>
      <c r="BT36" s="2"/>
      <c r="BU36" s="6"/>
      <c r="BV36" s="2"/>
      <c r="BW36" s="6"/>
      <c r="BX36" s="2"/>
      <c r="BY36" s="6"/>
      <c r="BZ36" s="2"/>
      <c r="CA36" s="6"/>
      <c r="CB36" s="2"/>
      <c r="CC36" s="6"/>
      <c r="CD36" s="2">
        <v>50400</v>
      </c>
      <c r="CE36" s="6"/>
      <c r="CF36" s="2"/>
      <c r="CG36" s="6"/>
      <c r="CH36" s="2"/>
      <c r="CI36" s="6"/>
      <c r="CJ36" s="2"/>
      <c r="CK36" s="6"/>
      <c r="CL36" s="2"/>
      <c r="CM36" s="6"/>
      <c r="CN36" s="2"/>
      <c r="CO36" s="6"/>
      <c r="CP36" s="2"/>
      <c r="CQ36" s="6"/>
      <c r="CR36" s="2"/>
      <c r="CS36" s="6"/>
      <c r="CT36" s="2"/>
      <c r="CU36" s="6"/>
      <c r="CV36" s="2"/>
      <c r="CW36" s="6"/>
      <c r="CX36" s="2"/>
      <c r="CY36" s="6"/>
      <c r="CZ36" s="2"/>
      <c r="DA36" s="6"/>
      <c r="DB36" s="2"/>
      <c r="DC36" s="6"/>
      <c r="DD36" s="2"/>
      <c r="DE36" s="6"/>
    </row>
    <row r="37" spans="1:109" x14ac:dyDescent="0.3">
      <c r="A37" s="2" t="s">
        <v>165</v>
      </c>
      <c r="B37" s="3" t="str">
        <f>_xlfn.XLOOKUP(A37,'Raw Material Requirement'!$A$4:$A$28,'Raw Material Requirement'!$B$4:$B$28)</f>
        <v>Bright Yellow</v>
      </c>
      <c r="C37" s="6">
        <f>_xlfn.XLOOKUP(A15,'Raw Material Requirement'!$A$4:$A$28,'Raw Material Requirement'!$C$4:$C$28)</f>
        <v>33600</v>
      </c>
      <c r="D37" s="2" cm="1">
        <f t="array" ref="D37">SUMPRODUCT((MOD(COLUMN($I37:$FN37)-COLUMN($I37),2)=0)*($I37:$FN37))</f>
        <v>0</v>
      </c>
      <c r="E37" s="6">
        <f t="shared" si="5"/>
        <v>33600</v>
      </c>
      <c r="F37" s="42">
        <f>('Mold Daily Output'!$F$24)*2</f>
        <v>56640</v>
      </c>
      <c r="G37" s="44">
        <f t="shared" si="7"/>
        <v>0.59322033898305082</v>
      </c>
      <c r="H37" s="2"/>
      <c r="I37" s="6"/>
      <c r="J37" s="2"/>
      <c r="K37" s="6"/>
      <c r="L37" s="2"/>
      <c r="M37" s="6"/>
      <c r="N37" s="2"/>
      <c r="O37" s="6"/>
      <c r="P37" s="2"/>
      <c r="Q37" s="6"/>
      <c r="R37" s="2"/>
      <c r="S37" s="6"/>
      <c r="T37" s="2"/>
      <c r="U37" s="6"/>
      <c r="V37" s="2"/>
      <c r="W37" s="6"/>
      <c r="X37" s="2"/>
      <c r="Y37" s="6"/>
      <c r="Z37" s="2"/>
      <c r="AA37" s="6"/>
      <c r="AB37" s="2"/>
      <c r="AC37" s="6"/>
      <c r="AD37" s="2"/>
      <c r="AE37" s="6"/>
      <c r="AF37" s="2"/>
      <c r="AG37" s="6"/>
      <c r="AH37" s="2"/>
      <c r="AI37" s="6"/>
      <c r="AJ37" s="2"/>
      <c r="AK37" s="6"/>
      <c r="AL37" s="2"/>
      <c r="AM37" s="6"/>
      <c r="AN37" s="2"/>
      <c r="AO37" s="6"/>
      <c r="AP37" s="2"/>
      <c r="AQ37" s="6"/>
      <c r="AR37" s="2"/>
      <c r="AS37" s="6"/>
      <c r="AT37" s="2"/>
      <c r="AU37" s="6"/>
      <c r="AV37" s="2"/>
      <c r="AW37" s="6"/>
      <c r="AX37" s="2"/>
      <c r="AY37" s="6"/>
      <c r="AZ37" s="2"/>
      <c r="BA37" s="6"/>
      <c r="BB37" s="2"/>
      <c r="BC37" s="6"/>
      <c r="BD37" s="2"/>
      <c r="BE37" s="6"/>
      <c r="BF37" s="2"/>
      <c r="BG37" s="6"/>
      <c r="BH37" s="2"/>
      <c r="BI37" s="6"/>
      <c r="BJ37" s="2"/>
      <c r="BK37" s="6"/>
      <c r="BL37" s="2"/>
      <c r="BM37" s="6"/>
      <c r="BN37" s="2"/>
      <c r="BO37" s="6"/>
      <c r="BP37" s="2"/>
      <c r="BQ37" s="6"/>
      <c r="BR37" s="2"/>
      <c r="BS37" s="6"/>
      <c r="BT37" s="2"/>
      <c r="BU37" s="6"/>
      <c r="BV37" s="2"/>
      <c r="BW37" s="6"/>
      <c r="BX37" s="2"/>
      <c r="BY37" s="6"/>
      <c r="BZ37" s="2"/>
      <c r="CA37" s="6"/>
      <c r="CB37" s="2"/>
      <c r="CC37" s="6"/>
      <c r="CD37" s="2"/>
      <c r="CE37" s="6"/>
      <c r="CF37" s="2">
        <v>33600</v>
      </c>
      <c r="CG37" s="6"/>
      <c r="CH37" s="2"/>
      <c r="CI37" s="6"/>
      <c r="CJ37" s="2"/>
      <c r="CK37" s="6"/>
      <c r="CL37" s="2"/>
      <c r="CM37" s="6"/>
      <c r="CN37" s="2"/>
      <c r="CO37" s="6"/>
      <c r="CP37" s="2"/>
      <c r="CQ37" s="6"/>
      <c r="CR37" s="2"/>
      <c r="CS37" s="6"/>
      <c r="CT37" s="2"/>
      <c r="CU37" s="6"/>
      <c r="CV37" s="2"/>
      <c r="CW37" s="6"/>
      <c r="CX37" s="2"/>
      <c r="CY37" s="6"/>
      <c r="CZ37" s="2"/>
      <c r="DA37" s="6"/>
      <c r="DB37" s="2"/>
      <c r="DC37" s="6"/>
      <c r="DD37" s="2"/>
      <c r="DE37" s="6"/>
    </row>
    <row r="38" spans="1:109" x14ac:dyDescent="0.3">
      <c r="A38" s="2" t="s">
        <v>167</v>
      </c>
      <c r="B38" s="3" t="str">
        <f>_xlfn.XLOOKUP(A38,'Raw Material Requirement'!$A$4:$A$28,'Raw Material Requirement'!$B$4:$B$28)</f>
        <v>Gray</v>
      </c>
      <c r="C38" s="6">
        <f>_xlfn.XLOOKUP(A16,'Raw Material Requirement'!$A$4:$A$28,'Raw Material Requirement'!$C$4:$C$28)</f>
        <v>33600</v>
      </c>
      <c r="D38" s="2" cm="1">
        <f t="array" ref="D38">SUMPRODUCT((MOD(COLUMN($I38:$FN38)-COLUMN($I38),2)=0)*($I38:$FN38))</f>
        <v>0</v>
      </c>
      <c r="E38" s="6">
        <f t="shared" si="5"/>
        <v>33600</v>
      </c>
      <c r="F38" s="42">
        <f>('Mold Daily Output'!$F$24)*2</f>
        <v>56640</v>
      </c>
      <c r="G38" s="44">
        <f t="shared" si="7"/>
        <v>0.59322033898305082</v>
      </c>
      <c r="H38" s="2"/>
      <c r="I38" s="6"/>
      <c r="J38" s="2"/>
      <c r="K38" s="6"/>
      <c r="L38" s="2"/>
      <c r="M38" s="6"/>
      <c r="N38" s="2"/>
      <c r="O38" s="6"/>
      <c r="P38" s="2"/>
      <c r="Q38" s="6"/>
      <c r="R38" s="2"/>
      <c r="S38" s="6"/>
      <c r="T38" s="2"/>
      <c r="U38" s="6"/>
      <c r="V38" s="2"/>
      <c r="W38" s="6"/>
      <c r="X38" s="2"/>
      <c r="Y38" s="6"/>
      <c r="Z38" s="2"/>
      <c r="AA38" s="6"/>
      <c r="AB38" s="2"/>
      <c r="AC38" s="6"/>
      <c r="AD38" s="2"/>
      <c r="AE38" s="6"/>
      <c r="AF38" s="2"/>
      <c r="AG38" s="6"/>
      <c r="AH38" s="2"/>
      <c r="AI38" s="6"/>
      <c r="AJ38" s="2"/>
      <c r="AK38" s="6"/>
      <c r="AL38" s="2"/>
      <c r="AM38" s="6"/>
      <c r="AN38" s="2"/>
      <c r="AO38" s="6"/>
      <c r="AP38" s="2"/>
      <c r="AQ38" s="6"/>
      <c r="AR38" s="2"/>
      <c r="AS38" s="6"/>
      <c r="AT38" s="2"/>
      <c r="AU38" s="6"/>
      <c r="AV38" s="2"/>
      <c r="AW38" s="6"/>
      <c r="AX38" s="2"/>
      <c r="AY38" s="6"/>
      <c r="AZ38" s="2"/>
      <c r="BA38" s="6"/>
      <c r="BB38" s="2"/>
      <c r="BC38" s="6"/>
      <c r="BD38" s="2"/>
      <c r="BE38" s="6"/>
      <c r="BF38" s="2"/>
      <c r="BG38" s="6"/>
      <c r="BH38" s="2"/>
      <c r="BI38" s="6"/>
      <c r="BJ38" s="2"/>
      <c r="BK38" s="6"/>
      <c r="BL38" s="2"/>
      <c r="BM38" s="6"/>
      <c r="BN38" s="2"/>
      <c r="BO38" s="6"/>
      <c r="BP38" s="2"/>
      <c r="BQ38" s="6"/>
      <c r="BR38" s="2"/>
      <c r="BS38" s="6"/>
      <c r="BT38" s="2"/>
      <c r="BU38" s="6"/>
      <c r="BV38" s="2"/>
      <c r="BW38" s="6"/>
      <c r="BX38" s="2"/>
      <c r="BY38" s="6"/>
      <c r="BZ38" s="2"/>
      <c r="CA38" s="6"/>
      <c r="CB38" s="2"/>
      <c r="CC38" s="6"/>
      <c r="CD38" s="2"/>
      <c r="CE38" s="6"/>
      <c r="CF38" s="2">
        <v>20000</v>
      </c>
      <c r="CG38" s="6"/>
      <c r="CH38" s="2">
        <v>13600</v>
      </c>
      <c r="CI38" s="6"/>
      <c r="CJ38" s="2"/>
      <c r="CK38" s="6"/>
      <c r="CL38" s="2"/>
      <c r="CM38" s="6"/>
      <c r="CN38" s="2"/>
      <c r="CO38" s="6"/>
      <c r="CP38" s="2"/>
      <c r="CQ38" s="6"/>
      <c r="CR38" s="2"/>
      <c r="CS38" s="6"/>
      <c r="CT38" s="2"/>
      <c r="CU38" s="6"/>
      <c r="CV38" s="2"/>
      <c r="CW38" s="6"/>
      <c r="CX38" s="2"/>
      <c r="CY38" s="6"/>
      <c r="CZ38" s="2"/>
      <c r="DA38" s="6"/>
      <c r="DB38" s="2"/>
      <c r="DC38" s="6"/>
      <c r="DD38" s="2"/>
      <c r="DE38" s="6"/>
    </row>
    <row r="39" spans="1:109" x14ac:dyDescent="0.3">
      <c r="A39" s="2" t="s">
        <v>168</v>
      </c>
      <c r="B39" s="3" t="str">
        <f>_xlfn.XLOOKUP(A39,'Raw Material Requirement'!$A$4:$A$28,'Raw Material Requirement'!$B$4:$B$28)</f>
        <v>Kelly Green</v>
      </c>
      <c r="C39" s="6">
        <f>_xlfn.XLOOKUP(A17,'Raw Material Requirement'!$A$4:$A$28,'Raw Material Requirement'!$C$4:$C$28)</f>
        <v>33600</v>
      </c>
      <c r="D39" s="2" cm="1">
        <f t="array" ref="D39">SUMPRODUCT((MOD(COLUMN($I39:$FN39)-COLUMN($I39),2)=0)*($I39:$FN39))</f>
        <v>0</v>
      </c>
      <c r="E39" s="6">
        <f t="shared" si="5"/>
        <v>33600</v>
      </c>
      <c r="F39" s="42">
        <f>('Mold Daily Output'!$F$24)*2</f>
        <v>56640</v>
      </c>
      <c r="G39" s="44">
        <f t="shared" si="7"/>
        <v>0.59322033898305082</v>
      </c>
      <c r="H39" s="2"/>
      <c r="I39" s="6"/>
      <c r="J39" s="2"/>
      <c r="K39" s="6"/>
      <c r="L39" s="2"/>
      <c r="M39" s="6"/>
      <c r="N39" s="2"/>
      <c r="O39" s="6"/>
      <c r="P39" s="2"/>
      <c r="Q39" s="6"/>
      <c r="R39" s="2"/>
      <c r="S39" s="6"/>
      <c r="T39" s="2"/>
      <c r="U39" s="6"/>
      <c r="V39" s="2"/>
      <c r="W39" s="6"/>
      <c r="X39" s="2"/>
      <c r="Y39" s="6"/>
      <c r="Z39" s="2"/>
      <c r="AA39" s="6"/>
      <c r="AB39" s="2"/>
      <c r="AC39" s="6"/>
      <c r="AD39" s="2"/>
      <c r="AE39" s="6"/>
      <c r="AF39" s="2"/>
      <c r="AG39" s="6"/>
      <c r="AH39" s="2"/>
      <c r="AI39" s="6"/>
      <c r="AJ39" s="2"/>
      <c r="AK39" s="6"/>
      <c r="AL39" s="2"/>
      <c r="AM39" s="6"/>
      <c r="AN39" s="2"/>
      <c r="AO39" s="6"/>
      <c r="AP39" s="2"/>
      <c r="AQ39" s="6"/>
      <c r="AR39" s="2"/>
      <c r="AS39" s="6"/>
      <c r="AT39" s="2"/>
      <c r="AU39" s="6"/>
      <c r="AV39" s="2"/>
      <c r="AW39" s="6"/>
      <c r="AX39" s="2"/>
      <c r="AY39" s="6"/>
      <c r="AZ39" s="2"/>
      <c r="BA39" s="6"/>
      <c r="BB39" s="2"/>
      <c r="BC39" s="6"/>
      <c r="BD39" s="2"/>
      <c r="BE39" s="6"/>
      <c r="BF39" s="2"/>
      <c r="BG39" s="6"/>
      <c r="BH39" s="2"/>
      <c r="BI39" s="6"/>
      <c r="BJ39" s="2"/>
      <c r="BK39" s="6"/>
      <c r="BL39" s="2"/>
      <c r="BM39" s="6"/>
      <c r="BN39" s="2"/>
      <c r="BO39" s="6"/>
      <c r="BP39" s="2"/>
      <c r="BQ39" s="6"/>
      <c r="BR39" s="2"/>
      <c r="BS39" s="6"/>
      <c r="BT39" s="2"/>
      <c r="BU39" s="6"/>
      <c r="BV39" s="2"/>
      <c r="BW39" s="6"/>
      <c r="BX39" s="2"/>
      <c r="BY39" s="6"/>
      <c r="BZ39" s="2"/>
      <c r="CA39" s="6"/>
      <c r="CB39" s="2"/>
      <c r="CC39" s="6"/>
      <c r="CD39" s="2"/>
      <c r="CE39" s="6"/>
      <c r="CF39" s="2"/>
      <c r="CG39" s="6"/>
      <c r="CH39" s="2">
        <v>33600</v>
      </c>
      <c r="CI39" s="6"/>
      <c r="CJ39" s="2"/>
      <c r="CK39" s="6"/>
      <c r="CL39" s="2"/>
      <c r="CM39" s="6"/>
      <c r="CN39" s="2"/>
      <c r="CO39" s="6"/>
      <c r="CP39" s="2"/>
      <c r="CQ39" s="6"/>
      <c r="CR39" s="2"/>
      <c r="CS39" s="6"/>
      <c r="CT39" s="2"/>
      <c r="CU39" s="6"/>
      <c r="CV39" s="2"/>
      <c r="CW39" s="6"/>
      <c r="CX39" s="2"/>
      <c r="CY39" s="6"/>
      <c r="CZ39" s="2"/>
      <c r="DA39" s="6"/>
      <c r="DB39" s="2"/>
      <c r="DC39" s="6"/>
      <c r="DD39" s="2"/>
      <c r="DE39" s="6"/>
    </row>
    <row r="40" spans="1:109" x14ac:dyDescent="0.3">
      <c r="A40" s="2" t="s">
        <v>169</v>
      </c>
      <c r="B40" s="3" t="str">
        <f>_xlfn.XLOOKUP(A40,'Raw Material Requirement'!$A$4:$A$28,'Raw Material Requirement'!$B$4:$B$28)</f>
        <v>Purple</v>
      </c>
      <c r="C40" s="6">
        <f>_xlfn.XLOOKUP(A18,'Raw Material Requirement'!$A$4:$A$28,'Raw Material Requirement'!$C$4:$C$28)</f>
        <v>33600</v>
      </c>
      <c r="D40" s="2" cm="1">
        <f t="array" ref="D40">SUMPRODUCT((MOD(COLUMN($I40:$FN40)-COLUMN($I40),2)=0)*($I40:$FN40))</f>
        <v>0</v>
      </c>
      <c r="E40" s="6">
        <f t="shared" si="5"/>
        <v>33600</v>
      </c>
      <c r="F40" s="42">
        <f>('Mold Daily Output'!$F$24)*2</f>
        <v>56640</v>
      </c>
      <c r="G40" s="44">
        <f t="shared" si="7"/>
        <v>0.59322033898305082</v>
      </c>
      <c r="H40" s="2"/>
      <c r="I40" s="6"/>
      <c r="J40" s="2"/>
      <c r="K40" s="6"/>
      <c r="L40" s="2"/>
      <c r="M40" s="6"/>
      <c r="N40" s="2"/>
      <c r="O40" s="6"/>
      <c r="P40" s="2"/>
      <c r="Q40" s="6"/>
      <c r="R40" s="2"/>
      <c r="S40" s="6"/>
      <c r="T40" s="2"/>
      <c r="U40" s="6"/>
      <c r="V40" s="2"/>
      <c r="W40" s="6"/>
      <c r="X40" s="2"/>
      <c r="Y40" s="6"/>
      <c r="Z40" s="2"/>
      <c r="AA40" s="6"/>
      <c r="AB40" s="2"/>
      <c r="AC40" s="6"/>
      <c r="AD40" s="2"/>
      <c r="AE40" s="6"/>
      <c r="AF40" s="2"/>
      <c r="AG40" s="6"/>
      <c r="AH40" s="2"/>
      <c r="AI40" s="6"/>
      <c r="AJ40" s="2"/>
      <c r="AK40" s="6"/>
      <c r="AL40" s="2"/>
      <c r="AM40" s="6"/>
      <c r="AN40" s="2"/>
      <c r="AO40" s="6"/>
      <c r="AP40" s="2"/>
      <c r="AQ40" s="6"/>
      <c r="AR40" s="2"/>
      <c r="AS40" s="6"/>
      <c r="AT40" s="2"/>
      <c r="AU40" s="6"/>
      <c r="AV40" s="2"/>
      <c r="AW40" s="6"/>
      <c r="AX40" s="2"/>
      <c r="AY40" s="6"/>
      <c r="AZ40" s="2"/>
      <c r="BA40" s="6"/>
      <c r="BB40" s="2">
        <v>33600</v>
      </c>
      <c r="BC40" s="6"/>
      <c r="BD40" s="2"/>
      <c r="BE40" s="6"/>
      <c r="BF40" s="2"/>
      <c r="BG40" s="6"/>
      <c r="BH40" s="2"/>
      <c r="BI40" s="6"/>
      <c r="BJ40" s="2"/>
      <c r="BK40" s="6"/>
      <c r="BL40" s="2"/>
      <c r="BM40" s="6"/>
      <c r="BN40" s="2"/>
      <c r="BO40" s="6"/>
      <c r="BP40" s="2"/>
      <c r="BQ40" s="6"/>
      <c r="BR40" s="2"/>
      <c r="BS40" s="6"/>
      <c r="BT40" s="2"/>
      <c r="BU40" s="6"/>
      <c r="BV40" s="2"/>
      <c r="BW40" s="6"/>
      <c r="BX40" s="2"/>
      <c r="BY40" s="6"/>
      <c r="BZ40" s="2"/>
      <c r="CA40" s="6"/>
      <c r="CB40" s="2"/>
      <c r="CC40" s="6"/>
      <c r="CD40" s="2"/>
      <c r="CE40" s="6"/>
      <c r="CF40" s="2"/>
      <c r="CG40" s="6"/>
      <c r="CH40" s="2"/>
      <c r="CI40" s="6"/>
      <c r="CJ40" s="2"/>
      <c r="CK40" s="6"/>
      <c r="CL40" s="2"/>
      <c r="CM40" s="6"/>
      <c r="CN40" s="2"/>
      <c r="CO40" s="6"/>
      <c r="CP40" s="2"/>
      <c r="CQ40" s="6"/>
      <c r="CR40" s="2"/>
      <c r="CS40" s="6"/>
      <c r="CT40" s="2"/>
      <c r="CU40" s="6"/>
      <c r="CV40" s="2"/>
      <c r="CW40" s="6"/>
      <c r="CX40" s="2"/>
      <c r="CY40" s="6"/>
      <c r="CZ40" s="2"/>
      <c r="DA40" s="6"/>
      <c r="DB40" s="2"/>
      <c r="DC40" s="6"/>
      <c r="DD40" s="2"/>
      <c r="DE40" s="6"/>
    </row>
    <row r="41" spans="1:109" ht="15" thickBot="1" x14ac:dyDescent="0.35">
      <c r="A41" s="4" t="s">
        <v>164</v>
      </c>
      <c r="B41" s="3" t="str">
        <f>_xlfn.XLOOKUP(A41,'Raw Material Requirement'!$A$4:$A$28,'Raw Material Requirement'!$B$4:$B$28)</f>
        <v>Yellow</v>
      </c>
      <c r="C41" s="6">
        <f>_xlfn.XLOOKUP(A19,'Raw Material Requirement'!$A$4:$A$28,'Raw Material Requirement'!$C$4:$C$28)</f>
        <v>16800</v>
      </c>
      <c r="D41" s="4" cm="1">
        <f t="array" ref="D41">SUMPRODUCT((MOD(COLUMN($I41:$FN41)-COLUMN($I41),2)=0)*($I41:$FN41))</f>
        <v>0</v>
      </c>
      <c r="E41" s="7">
        <f t="shared" si="5"/>
        <v>16800</v>
      </c>
      <c r="F41" s="42">
        <f>('Mold Daily Output'!$F$24)*2</f>
        <v>56640</v>
      </c>
      <c r="G41" s="45">
        <f t="shared" si="7"/>
        <v>0.29661016949152541</v>
      </c>
      <c r="H41" s="4"/>
      <c r="I41" s="7"/>
      <c r="J41" s="4"/>
      <c r="K41" s="7"/>
      <c r="L41" s="4"/>
      <c r="M41" s="7"/>
      <c r="N41" s="4"/>
      <c r="O41" s="7"/>
      <c r="P41" s="4"/>
      <c r="Q41" s="7"/>
      <c r="R41" s="4"/>
      <c r="S41" s="7"/>
      <c r="T41" s="4"/>
      <c r="U41" s="7"/>
      <c r="V41" s="4"/>
      <c r="W41" s="7"/>
      <c r="X41" s="4"/>
      <c r="Y41" s="7"/>
      <c r="Z41" s="4"/>
      <c r="AA41" s="7"/>
      <c r="AB41" s="4"/>
      <c r="AC41" s="7"/>
      <c r="AD41" s="4"/>
      <c r="AE41" s="7"/>
      <c r="AF41" s="4"/>
      <c r="AG41" s="7"/>
      <c r="AH41" s="4">
        <v>16800</v>
      </c>
      <c r="AI41" s="7"/>
      <c r="AJ41" s="4"/>
      <c r="AK41" s="7"/>
      <c r="AL41" s="4"/>
      <c r="AM41" s="7"/>
      <c r="AN41" s="4"/>
      <c r="AO41" s="7"/>
      <c r="AP41" s="4"/>
      <c r="AQ41" s="7"/>
      <c r="AR41" s="4"/>
      <c r="AS41" s="7"/>
      <c r="AT41" s="4"/>
      <c r="AU41" s="7"/>
      <c r="AV41" s="4"/>
      <c r="AW41" s="7"/>
      <c r="AX41" s="4"/>
      <c r="AY41" s="7"/>
      <c r="AZ41" s="4"/>
      <c r="BA41" s="7"/>
      <c r="BB41" s="4"/>
      <c r="BC41" s="7"/>
      <c r="BD41" s="4"/>
      <c r="BE41" s="7"/>
      <c r="BF41" s="4"/>
      <c r="BG41" s="7"/>
      <c r="BH41" s="4"/>
      <c r="BI41" s="7"/>
      <c r="BJ41" s="4"/>
      <c r="BK41" s="7"/>
      <c r="BL41" s="4"/>
      <c r="BM41" s="7"/>
      <c r="BN41" s="4"/>
      <c r="BO41" s="7"/>
      <c r="BP41" s="4"/>
      <c r="BQ41" s="7"/>
      <c r="BR41" s="4"/>
      <c r="BS41" s="7"/>
      <c r="BT41" s="4"/>
      <c r="BU41" s="7"/>
      <c r="BV41" s="4"/>
      <c r="BW41" s="7"/>
      <c r="BX41" s="4"/>
      <c r="BY41" s="7"/>
      <c r="BZ41" s="4"/>
      <c r="CA41" s="7"/>
      <c r="CB41" s="4"/>
      <c r="CC41" s="7"/>
      <c r="CD41" s="4"/>
      <c r="CE41" s="7"/>
      <c r="CF41" s="4"/>
      <c r="CG41" s="7"/>
      <c r="CH41" s="4"/>
      <c r="CI41" s="7"/>
      <c r="CJ41" s="4"/>
      <c r="CK41" s="7"/>
      <c r="CL41" s="4"/>
      <c r="CM41" s="7"/>
      <c r="CN41" s="4"/>
      <c r="CO41" s="7"/>
      <c r="CP41" s="4"/>
      <c r="CQ41" s="7"/>
      <c r="CR41" s="4"/>
      <c r="CS41" s="7"/>
      <c r="CT41" s="4"/>
      <c r="CU41" s="7"/>
      <c r="CV41" s="4"/>
      <c r="CW41" s="7"/>
      <c r="CX41" s="4"/>
      <c r="CY41" s="7"/>
      <c r="CZ41" s="4"/>
      <c r="DA41" s="7"/>
      <c r="DB41" s="4"/>
      <c r="DC41" s="7"/>
      <c r="DD41" s="4"/>
      <c r="DE41" s="7"/>
    </row>
    <row r="42" spans="1:109" ht="28.8" x14ac:dyDescent="0.3">
      <c r="G42" s="17" t="s">
        <v>551</v>
      </c>
      <c r="H42">
        <f>((SUM(H26:H41))*3.8)/1000</f>
        <v>215.232</v>
      </c>
      <c r="I42">
        <f t="shared" ref="I42:BT42" si="8">((SUM(I26:I41))*3.8)/1000</f>
        <v>0</v>
      </c>
      <c r="J42">
        <f t="shared" si="8"/>
        <v>215.232</v>
      </c>
      <c r="K42">
        <f t="shared" si="8"/>
        <v>0</v>
      </c>
      <c r="L42">
        <f t="shared" si="8"/>
        <v>215.232</v>
      </c>
      <c r="M42">
        <f t="shared" si="8"/>
        <v>0</v>
      </c>
      <c r="N42">
        <f t="shared" si="8"/>
        <v>215.232</v>
      </c>
      <c r="O42">
        <f t="shared" si="8"/>
        <v>0</v>
      </c>
      <c r="P42">
        <f t="shared" si="8"/>
        <v>215.232</v>
      </c>
      <c r="Q42">
        <f t="shared" si="8"/>
        <v>0</v>
      </c>
      <c r="R42">
        <f t="shared" si="8"/>
        <v>215.232</v>
      </c>
      <c r="S42">
        <f t="shared" si="8"/>
        <v>0</v>
      </c>
      <c r="T42">
        <f t="shared" si="8"/>
        <v>215.232</v>
      </c>
      <c r="U42">
        <f t="shared" si="8"/>
        <v>0</v>
      </c>
      <c r="V42">
        <f t="shared" si="8"/>
        <v>153.21600000000001</v>
      </c>
      <c r="W42">
        <f t="shared" si="8"/>
        <v>0</v>
      </c>
      <c r="X42">
        <f t="shared" si="8"/>
        <v>215.232</v>
      </c>
      <c r="Y42">
        <f t="shared" si="8"/>
        <v>0</v>
      </c>
      <c r="Z42">
        <f t="shared" si="8"/>
        <v>215.232</v>
      </c>
      <c r="AA42">
        <f t="shared" si="8"/>
        <v>0</v>
      </c>
      <c r="AB42">
        <f t="shared" si="8"/>
        <v>215.232</v>
      </c>
      <c r="AC42">
        <f t="shared" si="8"/>
        <v>0</v>
      </c>
      <c r="AD42">
        <f t="shared" si="8"/>
        <v>215.232</v>
      </c>
      <c r="AE42">
        <f t="shared" si="8"/>
        <v>0</v>
      </c>
      <c r="AF42">
        <f t="shared" si="8"/>
        <v>215.232</v>
      </c>
      <c r="AG42">
        <f t="shared" si="8"/>
        <v>0</v>
      </c>
      <c r="AH42">
        <f t="shared" si="8"/>
        <v>136.80000000000001</v>
      </c>
      <c r="AI42">
        <f t="shared" si="8"/>
        <v>0</v>
      </c>
      <c r="AJ42">
        <f t="shared" si="8"/>
        <v>215.232</v>
      </c>
      <c r="AK42">
        <f t="shared" si="8"/>
        <v>0</v>
      </c>
      <c r="AL42">
        <f t="shared" si="8"/>
        <v>215.232</v>
      </c>
      <c r="AM42">
        <f t="shared" si="8"/>
        <v>0</v>
      </c>
      <c r="AN42">
        <f t="shared" si="8"/>
        <v>215.232</v>
      </c>
      <c r="AO42">
        <f t="shared" si="8"/>
        <v>0</v>
      </c>
      <c r="AP42">
        <f t="shared" si="8"/>
        <v>215.232</v>
      </c>
      <c r="AQ42">
        <f t="shared" si="8"/>
        <v>0</v>
      </c>
      <c r="AR42">
        <f t="shared" si="8"/>
        <v>160.512</v>
      </c>
      <c r="AS42">
        <f t="shared" si="8"/>
        <v>0</v>
      </c>
      <c r="AT42">
        <f t="shared" si="8"/>
        <v>215.232</v>
      </c>
      <c r="AU42">
        <f t="shared" si="8"/>
        <v>0</v>
      </c>
      <c r="AV42">
        <f t="shared" si="8"/>
        <v>215.232</v>
      </c>
      <c r="AW42">
        <f t="shared" si="8"/>
        <v>0</v>
      </c>
      <c r="AX42">
        <f t="shared" si="8"/>
        <v>215.232</v>
      </c>
      <c r="AY42">
        <f t="shared" si="8"/>
        <v>0</v>
      </c>
      <c r="AZ42">
        <f t="shared" si="8"/>
        <v>215.232</v>
      </c>
      <c r="BA42">
        <f t="shared" si="8"/>
        <v>0</v>
      </c>
      <c r="BB42">
        <f t="shared" si="8"/>
        <v>160.512</v>
      </c>
      <c r="BC42">
        <f t="shared" si="8"/>
        <v>0</v>
      </c>
      <c r="BD42">
        <f t="shared" si="8"/>
        <v>215.232</v>
      </c>
      <c r="BE42">
        <f t="shared" si="8"/>
        <v>0</v>
      </c>
      <c r="BF42">
        <f t="shared" si="8"/>
        <v>215.232</v>
      </c>
      <c r="BG42">
        <f t="shared" si="8"/>
        <v>0</v>
      </c>
      <c r="BH42">
        <f t="shared" si="8"/>
        <v>215.232</v>
      </c>
      <c r="BI42">
        <f t="shared" si="8"/>
        <v>0</v>
      </c>
      <c r="BJ42">
        <f t="shared" si="8"/>
        <v>196.38399999999999</v>
      </c>
      <c r="BK42">
        <f t="shared" si="8"/>
        <v>0</v>
      </c>
      <c r="BL42">
        <f t="shared" si="8"/>
        <v>215.232</v>
      </c>
      <c r="BM42">
        <f t="shared" si="8"/>
        <v>0</v>
      </c>
      <c r="BN42">
        <f t="shared" si="8"/>
        <v>215.232</v>
      </c>
      <c r="BO42">
        <f t="shared" si="8"/>
        <v>0</v>
      </c>
      <c r="BP42">
        <f t="shared" si="8"/>
        <v>215.232</v>
      </c>
      <c r="BQ42">
        <f t="shared" si="8"/>
        <v>0</v>
      </c>
      <c r="BR42">
        <f t="shared" si="8"/>
        <v>196.38399999999999</v>
      </c>
      <c r="BS42">
        <f t="shared" si="8"/>
        <v>0</v>
      </c>
      <c r="BT42">
        <f t="shared" si="8"/>
        <v>215.232</v>
      </c>
      <c r="BU42">
        <f t="shared" ref="BU42:CH42" si="9">((SUM(BU26:BU41))*3.8)/1000</f>
        <v>0</v>
      </c>
      <c r="BV42">
        <f t="shared" si="9"/>
        <v>55.936</v>
      </c>
      <c r="BW42">
        <f t="shared" si="9"/>
        <v>0</v>
      </c>
      <c r="BX42">
        <f t="shared" si="9"/>
        <v>215.232</v>
      </c>
      <c r="BY42">
        <f t="shared" si="9"/>
        <v>0</v>
      </c>
      <c r="BZ42">
        <f t="shared" si="9"/>
        <v>191.52</v>
      </c>
      <c r="CA42">
        <f t="shared" si="9"/>
        <v>0</v>
      </c>
      <c r="CB42">
        <f t="shared" si="9"/>
        <v>191.52</v>
      </c>
      <c r="CC42">
        <f t="shared" si="9"/>
        <v>0</v>
      </c>
      <c r="CD42">
        <f t="shared" si="9"/>
        <v>191.52</v>
      </c>
      <c r="CE42">
        <f t="shared" si="9"/>
        <v>0</v>
      </c>
      <c r="CF42">
        <f t="shared" si="9"/>
        <v>203.68</v>
      </c>
      <c r="CG42">
        <f t="shared" si="9"/>
        <v>0</v>
      </c>
      <c r="CH42">
        <f t="shared" si="9"/>
        <v>179.36</v>
      </c>
    </row>
    <row r="44" spans="1:109" x14ac:dyDescent="0.3">
      <c r="G44" t="s">
        <v>552</v>
      </c>
      <c r="H44">
        <f>SUM(H42,H20)</f>
        <v>390.95040000000006</v>
      </c>
      <c r="I44">
        <f t="shared" ref="I44:BT44" si="10">SUM(I42,I20)</f>
        <v>0</v>
      </c>
      <c r="J44">
        <f t="shared" si="10"/>
        <v>390.95040000000006</v>
      </c>
      <c r="K44">
        <f t="shared" si="10"/>
        <v>0</v>
      </c>
      <c r="L44">
        <f t="shared" si="10"/>
        <v>390.95040000000006</v>
      </c>
      <c r="M44">
        <f t="shared" si="10"/>
        <v>0</v>
      </c>
      <c r="N44">
        <f t="shared" si="10"/>
        <v>390.95040000000006</v>
      </c>
      <c r="O44">
        <f t="shared" si="10"/>
        <v>0</v>
      </c>
      <c r="P44">
        <f t="shared" si="10"/>
        <v>390.95040000000006</v>
      </c>
      <c r="Q44">
        <f t="shared" si="10"/>
        <v>0</v>
      </c>
      <c r="R44">
        <f t="shared" si="10"/>
        <v>390.95040000000006</v>
      </c>
      <c r="S44">
        <f t="shared" si="10"/>
        <v>0</v>
      </c>
      <c r="T44">
        <f t="shared" si="10"/>
        <v>390.95040000000006</v>
      </c>
      <c r="U44">
        <f t="shared" si="10"/>
        <v>0</v>
      </c>
      <c r="V44">
        <f t="shared" si="10"/>
        <v>320.94720000000001</v>
      </c>
      <c r="W44">
        <f t="shared" si="10"/>
        <v>0</v>
      </c>
      <c r="X44">
        <f t="shared" si="10"/>
        <v>390.95040000000006</v>
      </c>
      <c r="Y44">
        <f t="shared" si="10"/>
        <v>0</v>
      </c>
      <c r="Z44">
        <f t="shared" si="10"/>
        <v>390.95040000000006</v>
      </c>
      <c r="AA44">
        <f t="shared" si="10"/>
        <v>0</v>
      </c>
      <c r="AB44">
        <f t="shared" si="10"/>
        <v>390.95040000000006</v>
      </c>
      <c r="AC44">
        <f t="shared" si="10"/>
        <v>0</v>
      </c>
      <c r="AD44">
        <f t="shared" si="10"/>
        <v>390.95040000000006</v>
      </c>
      <c r="AE44">
        <f t="shared" si="10"/>
        <v>0</v>
      </c>
      <c r="AF44">
        <f t="shared" si="10"/>
        <v>390.95040000000006</v>
      </c>
      <c r="AG44">
        <f t="shared" si="10"/>
        <v>0</v>
      </c>
      <c r="AH44">
        <f t="shared" si="10"/>
        <v>279.64800000000002</v>
      </c>
      <c r="AI44">
        <f t="shared" si="10"/>
        <v>0</v>
      </c>
      <c r="AJ44">
        <f t="shared" si="10"/>
        <v>390.95040000000006</v>
      </c>
      <c r="AK44">
        <f t="shared" si="10"/>
        <v>0</v>
      </c>
      <c r="AL44">
        <f t="shared" si="10"/>
        <v>390.95040000000006</v>
      </c>
      <c r="AM44">
        <f t="shared" si="10"/>
        <v>0</v>
      </c>
      <c r="AN44">
        <f t="shared" si="10"/>
        <v>390.95040000000006</v>
      </c>
      <c r="AO44">
        <f t="shared" si="10"/>
        <v>0</v>
      </c>
      <c r="AP44">
        <f t="shared" si="10"/>
        <v>390.95040000000006</v>
      </c>
      <c r="AQ44">
        <f t="shared" si="10"/>
        <v>0</v>
      </c>
      <c r="AR44">
        <f t="shared" si="10"/>
        <v>317.79840000000002</v>
      </c>
      <c r="AS44">
        <f t="shared" si="10"/>
        <v>0</v>
      </c>
      <c r="AT44">
        <f t="shared" si="10"/>
        <v>390.95040000000006</v>
      </c>
      <c r="AU44">
        <f t="shared" si="10"/>
        <v>0</v>
      </c>
      <c r="AV44">
        <f t="shared" si="10"/>
        <v>390.95040000000006</v>
      </c>
      <c r="AW44">
        <f t="shared" si="10"/>
        <v>0</v>
      </c>
      <c r="AX44">
        <f t="shared" si="10"/>
        <v>390.95040000000006</v>
      </c>
      <c r="AY44">
        <f t="shared" si="10"/>
        <v>0</v>
      </c>
      <c r="AZ44">
        <f t="shared" si="10"/>
        <v>390.95040000000006</v>
      </c>
      <c r="BA44">
        <f t="shared" si="10"/>
        <v>0</v>
      </c>
      <c r="BB44">
        <f t="shared" si="10"/>
        <v>317.79840000000002</v>
      </c>
      <c r="BC44">
        <f t="shared" si="10"/>
        <v>0</v>
      </c>
      <c r="BD44">
        <f t="shared" si="10"/>
        <v>390.95040000000006</v>
      </c>
      <c r="BE44">
        <f t="shared" si="10"/>
        <v>0</v>
      </c>
      <c r="BF44">
        <f t="shared" si="10"/>
        <v>390.95040000000006</v>
      </c>
      <c r="BG44">
        <f t="shared" si="10"/>
        <v>0</v>
      </c>
      <c r="BH44">
        <f t="shared" si="10"/>
        <v>390.95040000000006</v>
      </c>
      <c r="BI44">
        <f t="shared" si="10"/>
        <v>0</v>
      </c>
      <c r="BJ44">
        <f t="shared" si="10"/>
        <v>352.74880000000002</v>
      </c>
      <c r="BK44">
        <f t="shared" si="10"/>
        <v>0</v>
      </c>
      <c r="BL44">
        <f t="shared" si="10"/>
        <v>390.95040000000006</v>
      </c>
      <c r="BM44">
        <f t="shared" si="10"/>
        <v>0</v>
      </c>
      <c r="BN44">
        <f t="shared" si="10"/>
        <v>390.95040000000006</v>
      </c>
      <c r="BO44">
        <f t="shared" si="10"/>
        <v>0</v>
      </c>
      <c r="BP44">
        <f t="shared" si="10"/>
        <v>390.95040000000006</v>
      </c>
      <c r="BQ44">
        <f t="shared" si="10"/>
        <v>0</v>
      </c>
      <c r="BR44">
        <f t="shared" si="10"/>
        <v>352.74880000000002</v>
      </c>
      <c r="BS44">
        <f t="shared" si="10"/>
        <v>0</v>
      </c>
      <c r="BT44">
        <f t="shared" si="10"/>
        <v>390.95040000000006</v>
      </c>
      <c r="BU44">
        <f t="shared" ref="BU44:CH44" si="11">SUM(BU42,BU20)</f>
        <v>0</v>
      </c>
      <c r="BV44">
        <f t="shared" si="11"/>
        <v>165.29920000000001</v>
      </c>
      <c r="BW44">
        <f t="shared" si="11"/>
        <v>0</v>
      </c>
      <c r="BX44">
        <f t="shared" si="11"/>
        <v>390.95040000000006</v>
      </c>
      <c r="BY44">
        <f t="shared" si="11"/>
        <v>0</v>
      </c>
      <c r="BZ44">
        <f t="shared" si="11"/>
        <v>352.8</v>
      </c>
      <c r="CA44">
        <f t="shared" si="11"/>
        <v>0</v>
      </c>
      <c r="CB44">
        <f t="shared" si="11"/>
        <v>352.8</v>
      </c>
      <c r="CC44">
        <f t="shared" si="11"/>
        <v>0</v>
      </c>
      <c r="CD44">
        <f t="shared" si="11"/>
        <v>352.8</v>
      </c>
      <c r="CE44">
        <f t="shared" si="11"/>
        <v>0</v>
      </c>
      <c r="CF44">
        <f t="shared" si="11"/>
        <v>368.8</v>
      </c>
      <c r="CG44">
        <f t="shared" si="11"/>
        <v>0</v>
      </c>
      <c r="CH44">
        <f t="shared" si="11"/>
        <v>336.8</v>
      </c>
    </row>
  </sheetData>
  <mergeCells count="204">
    <mergeCell ref="T2:U2"/>
    <mergeCell ref="V2:W2"/>
    <mergeCell ref="X2:Y2"/>
    <mergeCell ref="Z2:AA2"/>
    <mergeCell ref="AB2:AC2"/>
    <mergeCell ref="AD2:AE2"/>
    <mergeCell ref="H2:I2"/>
    <mergeCell ref="J2:K2"/>
    <mergeCell ref="L2:M2"/>
    <mergeCell ref="N2:O2"/>
    <mergeCell ref="P2:Q2"/>
    <mergeCell ref="R2:S2"/>
    <mergeCell ref="AR2:AS2"/>
    <mergeCell ref="AT2:AU2"/>
    <mergeCell ref="AV2:AW2"/>
    <mergeCell ref="AX2:AY2"/>
    <mergeCell ref="AZ2:BA2"/>
    <mergeCell ref="BB2:BC2"/>
    <mergeCell ref="AF2:AG2"/>
    <mergeCell ref="AH2:AI2"/>
    <mergeCell ref="AJ2:AK2"/>
    <mergeCell ref="AL2:AM2"/>
    <mergeCell ref="AN2:AO2"/>
    <mergeCell ref="AP2:AQ2"/>
    <mergeCell ref="BP2:BQ2"/>
    <mergeCell ref="BR2:BS2"/>
    <mergeCell ref="BT2:BU2"/>
    <mergeCell ref="BV2:BW2"/>
    <mergeCell ref="BX2:BY2"/>
    <mergeCell ref="BZ2:CA2"/>
    <mergeCell ref="BD2:BE2"/>
    <mergeCell ref="BF2:BG2"/>
    <mergeCell ref="BH2:BI2"/>
    <mergeCell ref="BJ2:BK2"/>
    <mergeCell ref="BL2:BM2"/>
    <mergeCell ref="BN2:BO2"/>
    <mergeCell ref="R1:S1"/>
    <mergeCell ref="T1:U1"/>
    <mergeCell ref="V1:W1"/>
    <mergeCell ref="X1:Y1"/>
    <mergeCell ref="Z1:AA1"/>
    <mergeCell ref="AB1:AC1"/>
    <mergeCell ref="H1:I1"/>
    <mergeCell ref="J1:K1"/>
    <mergeCell ref="L1:M1"/>
    <mergeCell ref="N1:O1"/>
    <mergeCell ref="P1:Q1"/>
    <mergeCell ref="AP1:AQ1"/>
    <mergeCell ref="AR1:AS1"/>
    <mergeCell ref="AT1:AU1"/>
    <mergeCell ref="AV1:AW1"/>
    <mergeCell ref="AX1:AY1"/>
    <mergeCell ref="AZ1:BA1"/>
    <mergeCell ref="AD1:AE1"/>
    <mergeCell ref="AF1:AG1"/>
    <mergeCell ref="AH1:AI1"/>
    <mergeCell ref="AJ1:AK1"/>
    <mergeCell ref="AL1:AM1"/>
    <mergeCell ref="AN1:AO1"/>
    <mergeCell ref="BP1:BQ1"/>
    <mergeCell ref="BR1:BS1"/>
    <mergeCell ref="BT1:BU1"/>
    <mergeCell ref="BV1:BW1"/>
    <mergeCell ref="BX1:BY1"/>
    <mergeCell ref="BB1:BC1"/>
    <mergeCell ref="BD1:BE1"/>
    <mergeCell ref="BF1:BG1"/>
    <mergeCell ref="BH1:BI1"/>
    <mergeCell ref="BJ1:BK1"/>
    <mergeCell ref="BL1:BM1"/>
    <mergeCell ref="DD1:DE1"/>
    <mergeCell ref="DD2:DE2"/>
    <mergeCell ref="CT1:CU1"/>
    <mergeCell ref="CT2:CU2"/>
    <mergeCell ref="CV1:CW1"/>
    <mergeCell ref="CV2:CW2"/>
    <mergeCell ref="CX1:CY1"/>
    <mergeCell ref="CX2:CY2"/>
    <mergeCell ref="CN1:CO1"/>
    <mergeCell ref="CN2:CO2"/>
    <mergeCell ref="CP1:CQ1"/>
    <mergeCell ref="CP2:CQ2"/>
    <mergeCell ref="CR1:CS1"/>
    <mergeCell ref="CR2:CS2"/>
    <mergeCell ref="H23:I23"/>
    <mergeCell ref="J23:K23"/>
    <mergeCell ref="L23:M23"/>
    <mergeCell ref="N23:O23"/>
    <mergeCell ref="P23:Q23"/>
    <mergeCell ref="R23:S23"/>
    <mergeCell ref="CZ1:DA1"/>
    <mergeCell ref="CZ2:DA2"/>
    <mergeCell ref="DB1:DC1"/>
    <mergeCell ref="DB2:DC2"/>
    <mergeCell ref="CH1:CI1"/>
    <mergeCell ref="CH2:CI2"/>
    <mergeCell ref="CJ1:CK1"/>
    <mergeCell ref="CJ2:CK2"/>
    <mergeCell ref="CL1:CM1"/>
    <mergeCell ref="CL2:CM2"/>
    <mergeCell ref="BZ1:CA1"/>
    <mergeCell ref="CB1:CC1"/>
    <mergeCell ref="CB2:CC2"/>
    <mergeCell ref="CD1:CE1"/>
    <mergeCell ref="CD2:CE2"/>
    <mergeCell ref="CF1:CG1"/>
    <mergeCell ref="CF2:CG2"/>
    <mergeCell ref="BN1:BO1"/>
    <mergeCell ref="AJ23:AK23"/>
    <mergeCell ref="AL23:AM23"/>
    <mergeCell ref="AN23:AO23"/>
    <mergeCell ref="AP23:AQ23"/>
    <mergeCell ref="T23:U23"/>
    <mergeCell ref="V23:W23"/>
    <mergeCell ref="X23:Y23"/>
    <mergeCell ref="Z23:AA23"/>
    <mergeCell ref="AB23:AC23"/>
    <mergeCell ref="AD23:AE23"/>
    <mergeCell ref="H24:I24"/>
    <mergeCell ref="J24:K24"/>
    <mergeCell ref="L24:M24"/>
    <mergeCell ref="N24:O24"/>
    <mergeCell ref="P24:Q24"/>
    <mergeCell ref="R24:S24"/>
    <mergeCell ref="T24:U24"/>
    <mergeCell ref="CN23:CO23"/>
    <mergeCell ref="CP23:CQ23"/>
    <mergeCell ref="CB23:CC23"/>
    <mergeCell ref="CD23:CE23"/>
    <mergeCell ref="CF23:CG23"/>
    <mergeCell ref="CH23:CI23"/>
    <mergeCell ref="CJ23:CK23"/>
    <mergeCell ref="CL23:CM23"/>
    <mergeCell ref="BP23:BQ23"/>
    <mergeCell ref="BR23:BS23"/>
    <mergeCell ref="BT23:BU23"/>
    <mergeCell ref="BV23:BW23"/>
    <mergeCell ref="BX23:BY23"/>
    <mergeCell ref="BZ23:CA23"/>
    <mergeCell ref="BD23:BE23"/>
    <mergeCell ref="BF23:BG23"/>
    <mergeCell ref="BH23:BI23"/>
    <mergeCell ref="V24:W24"/>
    <mergeCell ref="X24:Y24"/>
    <mergeCell ref="Z24:AA24"/>
    <mergeCell ref="AB24:AC24"/>
    <mergeCell ref="AD24:AE24"/>
    <mergeCell ref="AF24:AG24"/>
    <mergeCell ref="CZ23:DA23"/>
    <mergeCell ref="DB23:DC23"/>
    <mergeCell ref="DD23:DE23"/>
    <mergeCell ref="CR23:CS23"/>
    <mergeCell ref="CT23:CU23"/>
    <mergeCell ref="CV23:CW23"/>
    <mergeCell ref="CX23:CY23"/>
    <mergeCell ref="BJ23:BK23"/>
    <mergeCell ref="BL23:BM23"/>
    <mergeCell ref="BN23:BO23"/>
    <mergeCell ref="AR23:AS23"/>
    <mergeCell ref="AT23:AU23"/>
    <mergeCell ref="AV23:AW23"/>
    <mergeCell ref="AX23:AY23"/>
    <mergeCell ref="AZ23:BA23"/>
    <mergeCell ref="BB23:BC23"/>
    <mergeCell ref="AF23:AG23"/>
    <mergeCell ref="AH23:AI23"/>
    <mergeCell ref="AT24:AU24"/>
    <mergeCell ref="AV24:AW24"/>
    <mergeCell ref="AX24:AY24"/>
    <mergeCell ref="AZ24:BA24"/>
    <mergeCell ref="BB24:BC24"/>
    <mergeCell ref="BD24:BE24"/>
    <mergeCell ref="AH24:AI24"/>
    <mergeCell ref="AJ24:AK24"/>
    <mergeCell ref="AL24:AM24"/>
    <mergeCell ref="AN24:AO24"/>
    <mergeCell ref="AP24:AQ24"/>
    <mergeCell ref="AR24:AS24"/>
    <mergeCell ref="BR24:BS24"/>
    <mergeCell ref="BT24:BU24"/>
    <mergeCell ref="BV24:BW24"/>
    <mergeCell ref="BX24:BY24"/>
    <mergeCell ref="BZ24:CA24"/>
    <mergeCell ref="CB24:CC24"/>
    <mergeCell ref="BF24:BG24"/>
    <mergeCell ref="BH24:BI24"/>
    <mergeCell ref="BJ24:BK24"/>
    <mergeCell ref="BL24:BM24"/>
    <mergeCell ref="BN24:BO24"/>
    <mergeCell ref="BP24:BQ24"/>
    <mergeCell ref="DB24:DC24"/>
    <mergeCell ref="DD24:DE24"/>
    <mergeCell ref="CP24:CQ24"/>
    <mergeCell ref="CR24:CS24"/>
    <mergeCell ref="CT24:CU24"/>
    <mergeCell ref="CV24:CW24"/>
    <mergeCell ref="CX24:CY24"/>
    <mergeCell ref="CZ24:DA24"/>
    <mergeCell ref="CD24:CE24"/>
    <mergeCell ref="CF24:CG24"/>
    <mergeCell ref="CH24:CI24"/>
    <mergeCell ref="CJ24:CK24"/>
    <mergeCell ref="CL24:CM24"/>
    <mergeCell ref="CN24:CO24"/>
  </mergeCells>
  <phoneticPr fontId="4" type="noConversion"/>
  <conditionalFormatting sqref="H2:DE2">
    <cfRule type="expression" dxfId="27" priority="5">
      <formula>SUM(H$4:H$19)&gt;$F$4</formula>
    </cfRule>
  </conditionalFormatting>
  <conditionalFormatting sqref="H24:DE24">
    <cfRule type="expression" dxfId="26" priority="4">
      <formula>SUM(H$26:H$41)&gt;$F$26</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61B94-B313-4AE9-85B7-3F7D4BCBA4CF}">
  <dimension ref="A1:DE28"/>
  <sheetViews>
    <sheetView zoomScale="120" zoomScaleNormal="120" workbookViewId="0">
      <pane xSplit="7" ySplit="3" topLeftCell="K17" activePane="bottomRight" state="frozen"/>
      <selection pane="topRight" activeCell="H1" sqref="H1"/>
      <selection pane="bottomLeft" activeCell="A4" sqref="A4"/>
      <selection pane="bottomRight" activeCell="H28" sqref="H28:V28"/>
    </sheetView>
  </sheetViews>
  <sheetFormatPr defaultRowHeight="14.4" x14ac:dyDescent="0.3"/>
  <cols>
    <col min="2" max="2" width="15.5546875" bestFit="1" customWidth="1"/>
  </cols>
  <sheetData>
    <row r="1" spans="1:109" x14ac:dyDescent="0.3">
      <c r="A1" s="33" t="s">
        <v>418</v>
      </c>
      <c r="B1" s="34" t="s">
        <v>7</v>
      </c>
      <c r="C1" s="32"/>
      <c r="D1" s="3"/>
      <c r="E1" s="3"/>
      <c r="F1" s="3"/>
      <c r="G1" s="9"/>
      <c r="H1" s="106" t="s">
        <v>427</v>
      </c>
      <c r="I1" s="108"/>
      <c r="J1" s="106" t="s">
        <v>428</v>
      </c>
      <c r="K1" s="108"/>
      <c r="L1" s="106" t="s">
        <v>429</v>
      </c>
      <c r="M1" s="116"/>
      <c r="N1" s="106" t="s">
        <v>430</v>
      </c>
      <c r="O1" s="108"/>
      <c r="P1" s="106" t="s">
        <v>431</v>
      </c>
      <c r="Q1" s="116"/>
      <c r="R1" s="106" t="s">
        <v>432</v>
      </c>
      <c r="S1" s="108"/>
      <c r="T1" s="106" t="s">
        <v>433</v>
      </c>
      <c r="U1" s="116"/>
      <c r="V1" s="106" t="s">
        <v>434</v>
      </c>
      <c r="W1" s="108"/>
      <c r="X1" s="106" t="s">
        <v>435</v>
      </c>
      <c r="Y1" s="116"/>
      <c r="Z1" s="106" t="s">
        <v>436</v>
      </c>
      <c r="AA1" s="108"/>
      <c r="AB1" s="106" t="s">
        <v>437</v>
      </c>
      <c r="AC1" s="116"/>
      <c r="AD1" s="106" t="s">
        <v>438</v>
      </c>
      <c r="AE1" s="108"/>
      <c r="AF1" s="106" t="s">
        <v>439</v>
      </c>
      <c r="AG1" s="116"/>
      <c r="AH1" s="106" t="s">
        <v>440</v>
      </c>
      <c r="AI1" s="108"/>
      <c r="AJ1" s="106" t="s">
        <v>441</v>
      </c>
      <c r="AK1" s="116"/>
      <c r="AL1" s="106" t="s">
        <v>442</v>
      </c>
      <c r="AM1" s="108"/>
      <c r="AN1" s="106" t="s">
        <v>443</v>
      </c>
      <c r="AO1" s="116"/>
      <c r="AP1" s="106" t="s">
        <v>444</v>
      </c>
      <c r="AQ1" s="108"/>
      <c r="AR1" s="106" t="s">
        <v>445</v>
      </c>
      <c r="AS1" s="116"/>
      <c r="AT1" s="106" t="s">
        <v>446</v>
      </c>
      <c r="AU1" s="108"/>
      <c r="AV1" s="106" t="s">
        <v>447</v>
      </c>
      <c r="AW1" s="116"/>
      <c r="AX1" s="106" t="s">
        <v>448</v>
      </c>
      <c r="AY1" s="108"/>
      <c r="AZ1" s="106" t="s">
        <v>449</v>
      </c>
      <c r="BA1" s="116"/>
      <c r="BB1" s="106" t="s">
        <v>450</v>
      </c>
      <c r="BC1" s="108"/>
      <c r="BD1" s="106" t="s">
        <v>451</v>
      </c>
      <c r="BE1" s="116"/>
      <c r="BF1" s="106" t="s">
        <v>452</v>
      </c>
      <c r="BG1" s="108"/>
      <c r="BH1" s="106" t="s">
        <v>453</v>
      </c>
      <c r="BI1" s="116"/>
      <c r="BJ1" s="106" t="s">
        <v>454</v>
      </c>
      <c r="BK1" s="108"/>
      <c r="BL1" s="106" t="s">
        <v>455</v>
      </c>
      <c r="BM1" s="116"/>
      <c r="BN1" s="106" t="s">
        <v>456</v>
      </c>
      <c r="BO1" s="108"/>
      <c r="BP1" s="106" t="s">
        <v>457</v>
      </c>
      <c r="BQ1" s="116"/>
      <c r="BR1" s="106" t="s">
        <v>458</v>
      </c>
      <c r="BS1" s="108"/>
      <c r="BT1" s="106" t="s">
        <v>459</v>
      </c>
      <c r="BU1" s="116"/>
      <c r="BV1" s="106" t="s">
        <v>460</v>
      </c>
      <c r="BW1" s="108"/>
      <c r="BX1" s="106" t="s">
        <v>461</v>
      </c>
      <c r="BY1" s="116"/>
      <c r="BZ1" s="106" t="s">
        <v>462</v>
      </c>
      <c r="CA1" s="108"/>
      <c r="CB1" s="106" t="s">
        <v>463</v>
      </c>
      <c r="CC1" s="116"/>
      <c r="CD1" s="106" t="s">
        <v>464</v>
      </c>
      <c r="CE1" s="108"/>
      <c r="CF1" s="106" t="s">
        <v>465</v>
      </c>
      <c r="CG1" s="116"/>
      <c r="CH1" s="106" t="s">
        <v>466</v>
      </c>
      <c r="CI1" s="108"/>
      <c r="CJ1" s="106" t="s">
        <v>467</v>
      </c>
      <c r="CK1" s="116"/>
      <c r="CL1" s="106" t="s">
        <v>468</v>
      </c>
      <c r="CM1" s="108"/>
      <c r="CN1" s="106" t="s">
        <v>469</v>
      </c>
      <c r="CO1" s="116"/>
      <c r="CP1" s="106" t="s">
        <v>470</v>
      </c>
      <c r="CQ1" s="108"/>
      <c r="CR1" s="106" t="s">
        <v>471</v>
      </c>
      <c r="CS1" s="116"/>
      <c r="CT1" s="106" t="s">
        <v>472</v>
      </c>
      <c r="CU1" s="108"/>
      <c r="CV1" s="106" t="s">
        <v>473</v>
      </c>
      <c r="CW1" s="116"/>
      <c r="CX1" s="106" t="s">
        <v>474</v>
      </c>
      <c r="CY1" s="108"/>
      <c r="CZ1" s="106" t="s">
        <v>475</v>
      </c>
      <c r="DA1" s="116"/>
      <c r="DB1" s="106" t="s">
        <v>476</v>
      </c>
      <c r="DC1" s="108"/>
      <c r="DD1" s="106" t="s">
        <v>477</v>
      </c>
      <c r="DE1" s="108"/>
    </row>
    <row r="2" spans="1:109" s="17" customFormat="1" ht="29.4" thickBot="1" x14ac:dyDescent="0.35">
      <c r="A2" s="98" t="s">
        <v>422</v>
      </c>
      <c r="B2" s="97" t="s">
        <v>531</v>
      </c>
      <c r="C2" s="99" t="s">
        <v>549</v>
      </c>
      <c r="D2" s="100"/>
      <c r="E2" s="100"/>
      <c r="F2" s="100"/>
      <c r="G2" s="80"/>
      <c r="H2" s="117">
        <v>45965</v>
      </c>
      <c r="I2" s="118"/>
      <c r="J2" s="117">
        <f>WORKDAY.INTL(H2,1,"0010000")</f>
        <v>45967</v>
      </c>
      <c r="K2" s="118"/>
      <c r="L2" s="117">
        <f>WORKDAY.INTL(J2,1,"0010000")</f>
        <v>45968</v>
      </c>
      <c r="M2" s="118"/>
      <c r="N2" s="117">
        <f>WORKDAY.INTL(L2,1,"0010000")</f>
        <v>45969</v>
      </c>
      <c r="O2" s="118"/>
      <c r="P2" s="117">
        <f>WORKDAY.INTL(N2,1,"0010000")</f>
        <v>45970</v>
      </c>
      <c r="Q2" s="118"/>
      <c r="R2" s="117">
        <f>WORKDAY.INTL(P2,1,"0010000")</f>
        <v>45971</v>
      </c>
      <c r="S2" s="118"/>
      <c r="T2" s="117">
        <f>WORKDAY.INTL(R2,1,"0010000")</f>
        <v>45972</v>
      </c>
      <c r="U2" s="118"/>
      <c r="V2" s="117">
        <f>WORKDAY.INTL(T2,1,"0010000")</f>
        <v>45974</v>
      </c>
      <c r="W2" s="118"/>
      <c r="X2" s="117">
        <f>WORKDAY.INTL(V2,1,"0010000")</f>
        <v>45975</v>
      </c>
      <c r="Y2" s="118"/>
      <c r="Z2" s="117">
        <f>WORKDAY.INTL(X2,1,"0010000")</f>
        <v>45976</v>
      </c>
      <c r="AA2" s="118"/>
      <c r="AB2" s="117">
        <f>WORKDAY.INTL(Z2,1,"0010000")</f>
        <v>45977</v>
      </c>
      <c r="AC2" s="118"/>
      <c r="AD2" s="117">
        <f>WORKDAY.INTL(AB2,1,"0010000")</f>
        <v>45978</v>
      </c>
      <c r="AE2" s="118"/>
      <c r="AF2" s="117">
        <f>WORKDAY.INTL(AD2,1,"0010000")</f>
        <v>45979</v>
      </c>
      <c r="AG2" s="118"/>
      <c r="AH2" s="117">
        <f>WORKDAY.INTL(AF2,1,"0010000")</f>
        <v>45981</v>
      </c>
      <c r="AI2" s="118"/>
      <c r="AJ2" s="117">
        <f>WORKDAY.INTL(AH2,1,"0010000")</f>
        <v>45982</v>
      </c>
      <c r="AK2" s="118"/>
      <c r="AL2" s="117">
        <f>WORKDAY.INTL(AJ2,1,"0010000")</f>
        <v>45983</v>
      </c>
      <c r="AM2" s="118"/>
      <c r="AN2" s="117">
        <f>WORKDAY.INTL(AL2,1,"0010000")</f>
        <v>45984</v>
      </c>
      <c r="AO2" s="118"/>
      <c r="AP2" s="117">
        <f>WORKDAY.INTL(AN2,1,"0010000")</f>
        <v>45985</v>
      </c>
      <c r="AQ2" s="118"/>
      <c r="AR2" s="117">
        <f>WORKDAY.INTL(AP2,1,"0010000")</f>
        <v>45986</v>
      </c>
      <c r="AS2" s="118"/>
      <c r="AT2" s="117">
        <f>WORKDAY.INTL(AR2,1,"0010000")</f>
        <v>45988</v>
      </c>
      <c r="AU2" s="118"/>
      <c r="AV2" s="117">
        <f>WORKDAY.INTL(AT2,1,"0010000")</f>
        <v>45989</v>
      </c>
      <c r="AW2" s="118"/>
      <c r="AX2" s="117">
        <f>WORKDAY.INTL(AV2,1,"0010000")</f>
        <v>45990</v>
      </c>
      <c r="AY2" s="118"/>
      <c r="AZ2" s="117">
        <f>WORKDAY.INTL(AX2,1,"0010000")</f>
        <v>45991</v>
      </c>
      <c r="BA2" s="118"/>
      <c r="BB2" s="117">
        <f>WORKDAY.INTL(AZ2,1,"0010000")</f>
        <v>45992</v>
      </c>
      <c r="BC2" s="118"/>
      <c r="BD2" s="117">
        <f>WORKDAY.INTL(BB2,1,"0010000")</f>
        <v>45993</v>
      </c>
      <c r="BE2" s="118"/>
      <c r="BF2" s="117">
        <f>WORKDAY.INTL(BD2,1,"0010000")</f>
        <v>45995</v>
      </c>
      <c r="BG2" s="118"/>
      <c r="BH2" s="117">
        <f>WORKDAY.INTL(BF2,1,"0010000")</f>
        <v>45996</v>
      </c>
      <c r="BI2" s="118"/>
      <c r="BJ2" s="117">
        <f>WORKDAY.INTL(BH2,1,"0010000")</f>
        <v>45997</v>
      </c>
      <c r="BK2" s="118"/>
      <c r="BL2" s="117">
        <f>WORKDAY.INTL(BJ2,1,"0010000")</f>
        <v>45998</v>
      </c>
      <c r="BM2" s="118"/>
      <c r="BN2" s="117">
        <f>WORKDAY.INTL(BL2,1,"0010000")</f>
        <v>45999</v>
      </c>
      <c r="BO2" s="118"/>
      <c r="BP2" s="117">
        <f>WORKDAY.INTL(BN2,1,"0010000")</f>
        <v>46000</v>
      </c>
      <c r="BQ2" s="118"/>
      <c r="BR2" s="117">
        <f>WORKDAY.INTL(BP2,1,"0010000")</f>
        <v>46002</v>
      </c>
      <c r="BS2" s="118"/>
      <c r="BT2" s="117">
        <f>WORKDAY.INTL(BR2,1,"0010000")</f>
        <v>46003</v>
      </c>
      <c r="BU2" s="118"/>
      <c r="BV2" s="117">
        <f>WORKDAY.INTL(BT2,1,"0010000")</f>
        <v>46004</v>
      </c>
      <c r="BW2" s="118"/>
      <c r="BX2" s="117">
        <f>WORKDAY.INTL(BV2,1,"0010000")</f>
        <v>46005</v>
      </c>
      <c r="BY2" s="118"/>
      <c r="BZ2" s="117">
        <f>WORKDAY.INTL(BX2,1,"0010000")</f>
        <v>46006</v>
      </c>
      <c r="CA2" s="118"/>
      <c r="CB2" s="117">
        <f>WORKDAY.INTL(BZ2,1,"0010000")</f>
        <v>46007</v>
      </c>
      <c r="CC2" s="118"/>
      <c r="CD2" s="117">
        <f>WORKDAY.INTL(CB2,1,"0010000")</f>
        <v>46009</v>
      </c>
      <c r="CE2" s="118"/>
      <c r="CF2" s="117">
        <f>WORKDAY.INTL(CD2,1,"0010000")</f>
        <v>46010</v>
      </c>
      <c r="CG2" s="118"/>
      <c r="CH2" s="117">
        <f>WORKDAY.INTL(CF2,1,"0010000")</f>
        <v>46011</v>
      </c>
      <c r="CI2" s="118"/>
      <c r="CJ2" s="117">
        <f>WORKDAY.INTL(CH2,1,"0010000")</f>
        <v>46012</v>
      </c>
      <c r="CK2" s="118"/>
      <c r="CL2" s="117">
        <f>WORKDAY.INTL(CJ2,1,"0010000")</f>
        <v>46013</v>
      </c>
      <c r="CM2" s="118"/>
      <c r="CN2" s="117">
        <f>WORKDAY.INTL(CL2,1,"0010000")</f>
        <v>46014</v>
      </c>
      <c r="CO2" s="118"/>
      <c r="CP2" s="117">
        <f>WORKDAY.INTL(CN2,1,"0010000")</f>
        <v>46016</v>
      </c>
      <c r="CQ2" s="118"/>
      <c r="CR2" s="117">
        <f>WORKDAY.INTL(CP2,1,"0010000")</f>
        <v>46017</v>
      </c>
      <c r="CS2" s="118"/>
      <c r="CT2" s="117">
        <f>WORKDAY.INTL(CR2,1,"0010000")</f>
        <v>46018</v>
      </c>
      <c r="CU2" s="118"/>
      <c r="CV2" s="117">
        <f>WORKDAY.INTL(CT2,1,"0010000")</f>
        <v>46019</v>
      </c>
      <c r="CW2" s="118"/>
      <c r="CX2" s="117">
        <f>WORKDAY.INTL(CV2,1,"0010000")</f>
        <v>46020</v>
      </c>
      <c r="CY2" s="118"/>
      <c r="CZ2" s="117">
        <f>WORKDAY.INTL(CX2,1,"0010000")</f>
        <v>46021</v>
      </c>
      <c r="DA2" s="118"/>
      <c r="DB2" s="117">
        <f>WORKDAY.INTL(CZ2,1,"0010000")</f>
        <v>46023</v>
      </c>
      <c r="DC2" s="118"/>
      <c r="DD2" s="117">
        <f>WORKDAY.INTL(DB2,1,"0010000")</f>
        <v>46024</v>
      </c>
      <c r="DE2" s="118"/>
    </row>
    <row r="3" spans="1:109" ht="57.6" x14ac:dyDescent="0.3">
      <c r="A3" s="38" t="s">
        <v>186</v>
      </c>
      <c r="B3" s="39" t="s">
        <v>319</v>
      </c>
      <c r="C3" s="40" t="s">
        <v>419</v>
      </c>
      <c r="D3" s="38" t="s">
        <v>420</v>
      </c>
      <c r="E3" s="40" t="s">
        <v>421</v>
      </c>
      <c r="F3" s="38" t="s">
        <v>423</v>
      </c>
      <c r="G3" s="43" t="s">
        <v>424</v>
      </c>
      <c r="H3" s="30" t="s">
        <v>425</v>
      </c>
      <c r="I3" s="31" t="s">
        <v>426</v>
      </c>
      <c r="J3" s="30" t="s">
        <v>425</v>
      </c>
      <c r="K3" s="31" t="s">
        <v>426</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row>
    <row r="4" spans="1:109" x14ac:dyDescent="0.3">
      <c r="A4" s="3" t="s">
        <v>113</v>
      </c>
      <c r="B4" s="3" t="str">
        <f>_xlfn.XLOOKUP(A4,'Raw Material Requirement'!$A$4:$A$28,'Raw Material Requirement'!$B$4:$B$28)</f>
        <v>White</v>
      </c>
      <c r="C4" s="3">
        <f>_xlfn.XLOOKUP(A4,'Raw Material Requirement'!$A$4:$A$28,'Raw Material Requirement'!$O$4:$O$28)</f>
        <v>252000</v>
      </c>
      <c r="D4" s="2" cm="1">
        <f t="array" ref="D4">SUMPRODUCT((MOD(COLUMN($I4:$FN4)-COLUMN($I4),2)=0)*($I4:$FN4))</f>
        <v>0</v>
      </c>
      <c r="E4" s="6">
        <f>C4-D4</f>
        <v>252000</v>
      </c>
      <c r="F4" s="42">
        <f>SUM('Mold Daily Output'!$F$7)</f>
        <v>25536</v>
      </c>
      <c r="G4" s="44">
        <f t="shared" ref="G4:G12" si="0">E4/F4</f>
        <v>9.8684210526315788</v>
      </c>
      <c r="H4" s="2">
        <v>25536</v>
      </c>
      <c r="I4" s="6"/>
      <c r="J4" s="2">
        <v>25536</v>
      </c>
      <c r="K4" s="6"/>
      <c r="L4" s="2">
        <v>25536</v>
      </c>
      <c r="M4" s="6"/>
      <c r="N4" s="2">
        <v>25536</v>
      </c>
      <c r="O4" s="6"/>
      <c r="P4" s="2">
        <v>25536</v>
      </c>
      <c r="Q4" s="6"/>
      <c r="R4" s="2">
        <v>25536</v>
      </c>
      <c r="S4" s="6"/>
      <c r="T4" s="2">
        <v>25536</v>
      </c>
      <c r="U4" s="6"/>
      <c r="V4" s="2">
        <v>25536</v>
      </c>
      <c r="W4" s="6"/>
      <c r="X4" s="2">
        <v>25536</v>
      </c>
      <c r="Y4" s="6"/>
      <c r="Z4" s="2">
        <v>22176</v>
      </c>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row>
    <row r="5" spans="1:109" x14ac:dyDescent="0.3">
      <c r="A5" s="3" t="s">
        <v>170</v>
      </c>
      <c r="B5" s="3" t="str">
        <f>_xlfn.XLOOKUP(A5,'Raw Material Requirement'!$A$4:$A$28,'Raw Material Requirement'!$B$4:$B$28)</f>
        <v>Black</v>
      </c>
      <c r="C5" s="3">
        <f>_xlfn.XLOOKUP(A5,'Raw Material Requirement'!$A$4:$A$28,'Raw Material Requirement'!$O$4:$O$28)</f>
        <v>159600</v>
      </c>
      <c r="D5" s="2" cm="1">
        <f t="array" ref="D5">SUMPRODUCT((MOD(COLUMN($I5:$FN5)-COLUMN($I5),2)=0)*($I5:$FN5))</f>
        <v>0</v>
      </c>
      <c r="E5" s="6">
        <f t="shared" ref="E5:E12" si="1">C5-D5</f>
        <v>159600</v>
      </c>
      <c r="F5" s="42">
        <f>SUM('Mold Daily Output'!$F$7)</f>
        <v>25536</v>
      </c>
      <c r="G5" s="44">
        <f t="shared" si="0"/>
        <v>6.25</v>
      </c>
      <c r="H5" s="2"/>
      <c r="I5" s="6"/>
      <c r="J5" s="2"/>
      <c r="K5" s="6"/>
      <c r="L5" s="2"/>
      <c r="M5" s="6"/>
      <c r="N5" s="2"/>
      <c r="O5" s="6"/>
      <c r="P5" s="2"/>
      <c r="Q5" s="6"/>
      <c r="R5" s="2"/>
      <c r="S5" s="6"/>
      <c r="T5" s="2"/>
      <c r="U5" s="6"/>
      <c r="V5" s="2"/>
      <c r="W5" s="6"/>
      <c r="X5" s="2"/>
      <c r="Y5" s="6"/>
      <c r="Z5" s="2"/>
      <c r="AA5" s="6"/>
      <c r="AB5" s="2">
        <v>25536</v>
      </c>
      <c r="AC5" s="6"/>
      <c r="AD5" s="2">
        <v>25536</v>
      </c>
      <c r="AE5" s="6"/>
      <c r="AF5" s="2">
        <v>25536</v>
      </c>
      <c r="AG5" s="6"/>
      <c r="AH5" s="2">
        <v>25536</v>
      </c>
      <c r="AI5" s="6"/>
      <c r="AJ5" s="2">
        <v>25536</v>
      </c>
      <c r="AK5" s="6"/>
      <c r="AL5" s="2">
        <v>25536</v>
      </c>
      <c r="AM5" s="6"/>
      <c r="AN5" s="2">
        <v>6384</v>
      </c>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row>
    <row r="6" spans="1:109" x14ac:dyDescent="0.3">
      <c r="A6" s="3" t="s">
        <v>171</v>
      </c>
      <c r="B6" s="3" t="str">
        <f>_xlfn.XLOOKUP(A6,'Raw Material Requirement'!$A$4:$A$28,'Raw Material Requirement'!$B$4:$B$28)</f>
        <v>Blue</v>
      </c>
      <c r="C6" s="3">
        <f>_xlfn.XLOOKUP(A6,'Raw Material Requirement'!$A$4:$A$28,'Raw Material Requirement'!$O$4:$O$28)</f>
        <v>109200</v>
      </c>
      <c r="D6" s="2" cm="1">
        <f t="array" ref="D6">SUMPRODUCT((MOD(COLUMN($I6:$FN6)-COLUMN($I6),2)=0)*($I6:$FN6))</f>
        <v>0</v>
      </c>
      <c r="E6" s="6">
        <f t="shared" ref="E6" si="2">C6-D6</f>
        <v>109200</v>
      </c>
      <c r="F6" s="42">
        <f>SUM('Mold Daily Output'!$F$7)</f>
        <v>25536</v>
      </c>
      <c r="G6" s="44">
        <f t="shared" si="0"/>
        <v>4.2763157894736841</v>
      </c>
      <c r="H6" s="2"/>
      <c r="I6" s="6"/>
      <c r="J6" s="2"/>
      <c r="K6" s="6"/>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v>25536</v>
      </c>
      <c r="AQ6" s="6"/>
      <c r="AR6" s="2">
        <v>25536</v>
      </c>
      <c r="AS6" s="6"/>
      <c r="AT6" s="2">
        <v>25536</v>
      </c>
      <c r="AU6" s="6"/>
      <c r="AV6" s="2">
        <v>25536</v>
      </c>
      <c r="AW6" s="6"/>
      <c r="AX6" s="2">
        <v>7056</v>
      </c>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row>
    <row r="7" spans="1:109" x14ac:dyDescent="0.3">
      <c r="A7" s="3" t="s">
        <v>173</v>
      </c>
      <c r="B7" s="3" t="str">
        <f>_xlfn.XLOOKUP(A7,'Raw Material Requirement'!$A$4:$A$28,'Raw Material Requirement'!$B$4:$B$28)</f>
        <v>Red</v>
      </c>
      <c r="C7" s="3">
        <f>_xlfn.XLOOKUP(A7,'Raw Material Requirement'!$A$4:$A$28,'Raw Material Requirement'!$O$4:$O$28)</f>
        <v>84000</v>
      </c>
      <c r="D7" s="2" cm="1">
        <f t="array" ref="D7">SUMPRODUCT((MOD(COLUMN($I7:$FN7)-COLUMN($I7),2)=0)*($I7:$FN7))</f>
        <v>0</v>
      </c>
      <c r="E7" s="6">
        <f t="shared" si="1"/>
        <v>84000</v>
      </c>
      <c r="F7" s="42">
        <f>SUM('Mold Daily Output'!$F$7)</f>
        <v>25536</v>
      </c>
      <c r="G7" s="44">
        <f t="shared" si="0"/>
        <v>3.2894736842105261</v>
      </c>
      <c r="H7" s="2"/>
      <c r="I7" s="6"/>
      <c r="J7" s="2"/>
      <c r="K7" s="6"/>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v>15000</v>
      </c>
      <c r="AY7" s="6"/>
      <c r="AZ7" s="2">
        <v>25536</v>
      </c>
      <c r="BA7" s="6"/>
      <c r="BB7" s="2">
        <v>25536</v>
      </c>
      <c r="BC7" s="6"/>
      <c r="BD7" s="2">
        <v>17928</v>
      </c>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row>
    <row r="8" spans="1:109" x14ac:dyDescent="0.3">
      <c r="A8" s="3" t="s">
        <v>172</v>
      </c>
      <c r="B8" s="3" t="str">
        <f>_xlfn.XLOOKUP(A8,'Raw Material Requirement'!$A$4:$A$28,'Raw Material Requirement'!$B$4:$B$28)</f>
        <v>Green</v>
      </c>
      <c r="C8" s="3">
        <f>_xlfn.XLOOKUP(A8,'Raw Material Requirement'!$A$4:$A$28,'Raw Material Requirement'!$O$4:$O$28)</f>
        <v>50400</v>
      </c>
      <c r="D8" s="2" cm="1">
        <f t="array" ref="D8">SUMPRODUCT((MOD(COLUMN($I8:$FN8)-COLUMN($I8),2)=0)*($I8:$FN8))</f>
        <v>0</v>
      </c>
      <c r="E8" s="6">
        <f t="shared" si="1"/>
        <v>50400</v>
      </c>
      <c r="F8" s="42">
        <f>SUM('Mold Daily Output'!$F$7)</f>
        <v>25536</v>
      </c>
      <c r="G8" s="44">
        <f t="shared" si="0"/>
        <v>1.9736842105263157</v>
      </c>
      <c r="H8" s="2"/>
      <c r="I8" s="6"/>
      <c r="J8" s="2"/>
      <c r="K8" s="6"/>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v>5000</v>
      </c>
      <c r="BE8" s="6"/>
      <c r="BF8" s="2">
        <v>25536</v>
      </c>
      <c r="BG8" s="6"/>
      <c r="BH8" s="2">
        <v>19864</v>
      </c>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row>
    <row r="9" spans="1:109" x14ac:dyDescent="0.3">
      <c r="A9" s="3" t="s">
        <v>176</v>
      </c>
      <c r="B9" s="3" t="str">
        <f>_xlfn.XLOOKUP(A9,'Raw Material Requirement'!$A$4:$A$28,'Raw Material Requirement'!$B$4:$B$28)</f>
        <v>Orange</v>
      </c>
      <c r="C9" s="3">
        <f>_xlfn.XLOOKUP(A9,'Raw Material Requirement'!$A$4:$A$28,'Raw Material Requirement'!$O$4:$O$28)</f>
        <v>50400</v>
      </c>
      <c r="D9" s="2" cm="1">
        <f t="array" ref="D9">SUMPRODUCT((MOD(COLUMN($I9:$FN9)-COLUMN($I9),2)=0)*($I9:$FN9))</f>
        <v>0</v>
      </c>
      <c r="E9" s="6">
        <f t="shared" si="1"/>
        <v>50400</v>
      </c>
      <c r="F9" s="42">
        <f>SUM('Mold Daily Output'!$F$7)</f>
        <v>25536</v>
      </c>
      <c r="G9" s="44">
        <f t="shared" si="0"/>
        <v>1.9736842105263157</v>
      </c>
      <c r="H9" s="2"/>
      <c r="I9" s="6"/>
      <c r="J9" s="2"/>
      <c r="K9" s="6"/>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v>25536</v>
      </c>
      <c r="BK9" s="6"/>
      <c r="BL9" s="2">
        <v>24864</v>
      </c>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row>
    <row r="10" spans="1:109" x14ac:dyDescent="0.3">
      <c r="A10" s="3" t="s">
        <v>177</v>
      </c>
      <c r="B10" s="3" t="str">
        <f>_xlfn.XLOOKUP(A10,'Raw Material Requirement'!$A$4:$A$28,'Raw Material Requirement'!$B$4:$B$28)</f>
        <v>Purple</v>
      </c>
      <c r="C10" s="3">
        <f>_xlfn.XLOOKUP(A10,'Raw Material Requirement'!$A$4:$A$28,'Raw Material Requirement'!$O$4:$O$28)</f>
        <v>25200</v>
      </c>
      <c r="D10" s="2" cm="1">
        <f t="array" ref="D10">SUMPRODUCT((MOD(COLUMN($I10:$FN10)-COLUMN($I10),2)=0)*($I10:$FN10))</f>
        <v>0</v>
      </c>
      <c r="E10" s="6">
        <f t="shared" si="1"/>
        <v>25200</v>
      </c>
      <c r="F10" s="42">
        <f>SUM('Mold Daily Output'!$F$7)</f>
        <v>25536</v>
      </c>
      <c r="G10" s="44">
        <f t="shared" si="0"/>
        <v>0.98684210526315785</v>
      </c>
      <c r="H10" s="2"/>
      <c r="I10" s="6"/>
      <c r="J10" s="2"/>
      <c r="K10" s="6"/>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v>25200</v>
      </c>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row>
    <row r="11" spans="1:109" x14ac:dyDescent="0.3">
      <c r="A11" s="3" t="s">
        <v>175</v>
      </c>
      <c r="B11" s="3" t="str">
        <f>_xlfn.XLOOKUP(A11,'Raw Material Requirement'!$A$4:$A$28,'Raw Material Requirement'!$B$4:$B$28)</f>
        <v>Mar</v>
      </c>
      <c r="C11" s="3">
        <f>_xlfn.XLOOKUP(A11,'Raw Material Requirement'!$A$4:$A$28,'Raw Material Requirement'!$O$4:$O$28)</f>
        <v>8400</v>
      </c>
      <c r="D11" s="2" cm="1">
        <f t="array" ref="D11">SUMPRODUCT((MOD(COLUMN($I11:$FN11)-COLUMN($I11),2)=0)*($I11:$FN11))</f>
        <v>0</v>
      </c>
      <c r="E11" s="6">
        <f t="shared" si="1"/>
        <v>8400</v>
      </c>
      <c r="F11" s="42">
        <f>SUM('Mold Daily Output'!$F$7)</f>
        <v>25536</v>
      </c>
      <c r="G11" s="44">
        <f t="shared" si="0"/>
        <v>0.32894736842105265</v>
      </c>
      <c r="H11" s="2"/>
      <c r="I11" s="6"/>
      <c r="J11" s="2"/>
      <c r="K11" s="6"/>
      <c r="L11" s="2"/>
      <c r="M11" s="6"/>
      <c r="N11" s="2"/>
      <c r="O11" s="6"/>
      <c r="P11" s="2"/>
      <c r="Q11" s="6"/>
      <c r="R11" s="2"/>
      <c r="S11" s="6"/>
      <c r="T11" s="2"/>
      <c r="U11" s="6"/>
      <c r="V11" s="2"/>
      <c r="W11" s="6"/>
      <c r="X11" s="2"/>
      <c r="Y11" s="6"/>
      <c r="Z11" s="2"/>
      <c r="AA11" s="6"/>
      <c r="AB11" s="2"/>
      <c r="AC11" s="6"/>
      <c r="AD11" s="2"/>
      <c r="AE11" s="6"/>
      <c r="AF11" s="2"/>
      <c r="AG11" s="6"/>
      <c r="AH11" s="2"/>
      <c r="AI11" s="6"/>
      <c r="AJ11" s="2"/>
      <c r="AK11" s="6"/>
      <c r="AL11" s="2"/>
      <c r="AM11" s="6"/>
      <c r="AN11" s="2">
        <v>8400</v>
      </c>
      <c r="AO11" s="6"/>
      <c r="AP11" s="2"/>
      <c r="AQ11" s="6"/>
      <c r="AR11" s="2"/>
      <c r="AS11" s="6"/>
      <c r="AT11" s="2"/>
      <c r="AU11" s="6"/>
      <c r="AV11" s="2"/>
      <c r="AW11" s="6"/>
      <c r="AX11" s="2"/>
      <c r="AY11" s="6"/>
      <c r="AZ11" s="2"/>
      <c r="BA11" s="6"/>
      <c r="BB11" s="2"/>
      <c r="BC11" s="6"/>
      <c r="BD11" s="2"/>
      <c r="BE11" s="6"/>
      <c r="BF11" s="2"/>
      <c r="BG11" s="6"/>
      <c r="BH11" s="2"/>
      <c r="BI11" s="6"/>
      <c r="BJ11" s="2"/>
      <c r="BK11" s="6"/>
      <c r="BL11" s="2"/>
      <c r="BM11" s="6"/>
      <c r="BN11" s="2"/>
      <c r="BO11" s="6"/>
      <c r="BP11" s="2"/>
      <c r="BQ11" s="6"/>
      <c r="BR11" s="2"/>
      <c r="BS11" s="6"/>
      <c r="BT11" s="2"/>
      <c r="BU11" s="6"/>
      <c r="BV11" s="2"/>
      <c r="BW11" s="6"/>
      <c r="BX11" s="2"/>
      <c r="BY11" s="6"/>
      <c r="BZ11" s="2"/>
      <c r="CA11" s="6"/>
      <c r="CB11" s="2"/>
      <c r="CC11" s="6"/>
      <c r="CD11" s="2"/>
      <c r="CE11" s="6"/>
      <c r="CF11" s="2"/>
      <c r="CG11" s="6"/>
      <c r="CH11" s="2"/>
      <c r="CI11" s="6"/>
      <c r="CJ11" s="2"/>
      <c r="CK11" s="6"/>
      <c r="CL11" s="2"/>
      <c r="CM11" s="6"/>
      <c r="CN11" s="2"/>
      <c r="CO11" s="6"/>
      <c r="CP11" s="2"/>
      <c r="CQ11" s="6"/>
      <c r="CR11" s="2"/>
      <c r="CS11" s="6"/>
      <c r="CT11" s="2"/>
      <c r="CU11" s="6"/>
      <c r="CV11" s="2"/>
      <c r="CW11" s="6"/>
      <c r="CX11" s="2"/>
      <c r="CY11" s="6"/>
      <c r="CZ11" s="2"/>
      <c r="DA11" s="6"/>
      <c r="DB11" s="2"/>
      <c r="DC11" s="6"/>
      <c r="DD11" s="2"/>
      <c r="DE11" s="6"/>
    </row>
    <row r="12" spans="1:109" ht="15" thickBot="1" x14ac:dyDescent="0.35">
      <c r="A12" s="3" t="s">
        <v>178</v>
      </c>
      <c r="B12" s="3" t="str">
        <f>_xlfn.XLOOKUP(A12,'Raw Material Requirement'!$A$4:$A$28,'Raw Material Requirement'!$B$4:$B$28)</f>
        <v>Blue</v>
      </c>
      <c r="C12" s="3">
        <f>_xlfn.XLOOKUP(A12,'Raw Material Requirement'!$A$4:$A$28,'Raw Material Requirement'!$O$4:$O$28)</f>
        <v>8400</v>
      </c>
      <c r="D12" s="2" cm="1">
        <f t="array" ref="D12">SUMPRODUCT((MOD(COLUMN($I12:$FN12)-COLUMN($I12),2)=0)*($I12:$FN12))</f>
        <v>0</v>
      </c>
      <c r="E12" s="7">
        <f t="shared" si="1"/>
        <v>8400</v>
      </c>
      <c r="F12" s="42">
        <f>SUM('Mold Daily Output'!$F$7)</f>
        <v>25536</v>
      </c>
      <c r="G12" s="45">
        <f t="shared" si="0"/>
        <v>0.32894736842105265</v>
      </c>
      <c r="H12" s="4"/>
      <c r="I12" s="7"/>
      <c r="J12" s="4"/>
      <c r="K12" s="7"/>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v>8400</v>
      </c>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row>
    <row r="13" spans="1:109" ht="57.6" x14ac:dyDescent="0.3">
      <c r="G13" s="17" t="s">
        <v>551</v>
      </c>
      <c r="H13">
        <f>((SUM(H4:H12))*7.4)/1000</f>
        <v>188.96640000000002</v>
      </c>
      <c r="I13">
        <f t="shared" ref="I13:BN13" si="3">((SUM(I4:I12))*7.4)/1000</f>
        <v>0</v>
      </c>
      <c r="J13">
        <f t="shared" si="3"/>
        <v>188.96640000000002</v>
      </c>
      <c r="K13">
        <f t="shared" si="3"/>
        <v>0</v>
      </c>
      <c r="L13">
        <f t="shared" si="3"/>
        <v>188.96640000000002</v>
      </c>
      <c r="M13">
        <f t="shared" si="3"/>
        <v>0</v>
      </c>
      <c r="N13">
        <f t="shared" si="3"/>
        <v>188.96640000000002</v>
      </c>
      <c r="O13">
        <f t="shared" si="3"/>
        <v>0</v>
      </c>
      <c r="P13">
        <f t="shared" si="3"/>
        <v>188.96640000000002</v>
      </c>
      <c r="Q13">
        <f t="shared" si="3"/>
        <v>0</v>
      </c>
      <c r="R13">
        <f t="shared" si="3"/>
        <v>188.96640000000002</v>
      </c>
      <c r="S13">
        <f t="shared" si="3"/>
        <v>0</v>
      </c>
      <c r="T13">
        <f t="shared" si="3"/>
        <v>188.96640000000002</v>
      </c>
      <c r="U13">
        <f t="shared" si="3"/>
        <v>0</v>
      </c>
      <c r="V13">
        <f t="shared" si="3"/>
        <v>188.96640000000002</v>
      </c>
      <c r="W13">
        <f t="shared" si="3"/>
        <v>0</v>
      </c>
      <c r="X13">
        <f t="shared" si="3"/>
        <v>188.96640000000002</v>
      </c>
      <c r="Y13">
        <f t="shared" si="3"/>
        <v>0</v>
      </c>
      <c r="Z13">
        <f t="shared" si="3"/>
        <v>164.10239999999999</v>
      </c>
      <c r="AA13">
        <f t="shared" si="3"/>
        <v>0</v>
      </c>
      <c r="AB13">
        <f t="shared" si="3"/>
        <v>188.96640000000002</v>
      </c>
      <c r="AC13">
        <f t="shared" si="3"/>
        <v>0</v>
      </c>
      <c r="AD13">
        <f t="shared" si="3"/>
        <v>188.96640000000002</v>
      </c>
      <c r="AE13">
        <f t="shared" si="3"/>
        <v>0</v>
      </c>
      <c r="AF13">
        <f t="shared" si="3"/>
        <v>188.96640000000002</v>
      </c>
      <c r="AG13">
        <f t="shared" si="3"/>
        <v>0</v>
      </c>
      <c r="AH13">
        <f t="shared" si="3"/>
        <v>188.96640000000002</v>
      </c>
      <c r="AI13">
        <f t="shared" si="3"/>
        <v>0</v>
      </c>
      <c r="AJ13">
        <f t="shared" si="3"/>
        <v>188.96640000000002</v>
      </c>
      <c r="AK13">
        <f t="shared" si="3"/>
        <v>0</v>
      </c>
      <c r="AL13">
        <f t="shared" si="3"/>
        <v>188.96640000000002</v>
      </c>
      <c r="AM13">
        <f t="shared" si="3"/>
        <v>0</v>
      </c>
      <c r="AN13">
        <f t="shared" si="3"/>
        <v>171.5616</v>
      </c>
      <c r="AO13">
        <f t="shared" si="3"/>
        <v>0</v>
      </c>
      <c r="AP13">
        <f t="shared" si="3"/>
        <v>188.96640000000002</v>
      </c>
      <c r="AQ13">
        <f t="shared" si="3"/>
        <v>0</v>
      </c>
      <c r="AR13">
        <f t="shared" si="3"/>
        <v>188.96640000000002</v>
      </c>
      <c r="AS13">
        <f t="shared" si="3"/>
        <v>0</v>
      </c>
      <c r="AT13">
        <f t="shared" si="3"/>
        <v>188.96640000000002</v>
      </c>
      <c r="AU13">
        <f t="shared" si="3"/>
        <v>0</v>
      </c>
      <c r="AV13">
        <f t="shared" si="3"/>
        <v>188.96640000000002</v>
      </c>
      <c r="AW13">
        <f t="shared" si="3"/>
        <v>0</v>
      </c>
      <c r="AX13">
        <f t="shared" si="3"/>
        <v>163.21439999999998</v>
      </c>
      <c r="AY13">
        <f t="shared" si="3"/>
        <v>0</v>
      </c>
      <c r="AZ13">
        <f t="shared" si="3"/>
        <v>188.96640000000002</v>
      </c>
      <c r="BA13">
        <f t="shared" si="3"/>
        <v>0</v>
      </c>
      <c r="BB13">
        <f t="shared" si="3"/>
        <v>188.96640000000002</v>
      </c>
      <c r="BC13">
        <f t="shared" si="3"/>
        <v>0</v>
      </c>
      <c r="BD13">
        <f t="shared" si="3"/>
        <v>169.66720000000001</v>
      </c>
      <c r="BE13">
        <f t="shared" si="3"/>
        <v>0</v>
      </c>
      <c r="BF13">
        <f t="shared" si="3"/>
        <v>188.96640000000002</v>
      </c>
      <c r="BG13">
        <f t="shared" si="3"/>
        <v>0</v>
      </c>
      <c r="BH13">
        <f t="shared" si="3"/>
        <v>146.99360000000001</v>
      </c>
      <c r="BI13">
        <f t="shared" si="3"/>
        <v>0</v>
      </c>
      <c r="BJ13">
        <f t="shared" si="3"/>
        <v>188.96640000000002</v>
      </c>
      <c r="BK13">
        <f t="shared" si="3"/>
        <v>0</v>
      </c>
      <c r="BL13">
        <f t="shared" si="3"/>
        <v>183.99360000000001</v>
      </c>
      <c r="BM13">
        <f t="shared" si="3"/>
        <v>0</v>
      </c>
      <c r="BN13">
        <f t="shared" si="3"/>
        <v>186.48</v>
      </c>
    </row>
    <row r="14" spans="1:109" ht="15" thickBot="1" x14ac:dyDescent="0.35"/>
    <row r="15" spans="1:109" x14ac:dyDescent="0.3">
      <c r="A15" s="33" t="s">
        <v>418</v>
      </c>
      <c r="B15" s="34" t="s">
        <v>7</v>
      </c>
      <c r="C15" s="32"/>
      <c r="D15" s="3"/>
      <c r="E15" s="3"/>
      <c r="F15" s="3"/>
      <c r="G15" s="9"/>
      <c r="H15" s="106" t="s">
        <v>427</v>
      </c>
      <c r="I15" s="108"/>
      <c r="J15" s="106" t="s">
        <v>428</v>
      </c>
      <c r="K15" s="108"/>
      <c r="L15" s="106" t="s">
        <v>429</v>
      </c>
      <c r="M15" s="116"/>
      <c r="N15" s="106" t="s">
        <v>430</v>
      </c>
      <c r="O15" s="108"/>
      <c r="P15" s="106" t="s">
        <v>431</v>
      </c>
      <c r="Q15" s="116"/>
      <c r="R15" s="106" t="s">
        <v>432</v>
      </c>
      <c r="S15" s="108"/>
      <c r="T15" s="106" t="s">
        <v>433</v>
      </c>
      <c r="U15" s="116"/>
      <c r="V15" s="106" t="s">
        <v>434</v>
      </c>
      <c r="W15" s="108"/>
      <c r="X15" s="106" t="s">
        <v>435</v>
      </c>
      <c r="Y15" s="116"/>
      <c r="Z15" s="106" t="s">
        <v>436</v>
      </c>
      <c r="AA15" s="108"/>
      <c r="AB15" s="106" t="s">
        <v>437</v>
      </c>
      <c r="AC15" s="116"/>
      <c r="AD15" s="106" t="s">
        <v>438</v>
      </c>
      <c r="AE15" s="108"/>
      <c r="AF15" s="106" t="s">
        <v>439</v>
      </c>
      <c r="AG15" s="116"/>
      <c r="AH15" s="106" t="s">
        <v>440</v>
      </c>
      <c r="AI15" s="108"/>
      <c r="AJ15" s="106" t="s">
        <v>441</v>
      </c>
      <c r="AK15" s="116"/>
      <c r="AL15" s="106" t="s">
        <v>442</v>
      </c>
      <c r="AM15" s="108"/>
      <c r="AN15" s="106" t="s">
        <v>443</v>
      </c>
      <c r="AO15" s="116"/>
      <c r="AP15" s="106" t="s">
        <v>444</v>
      </c>
      <c r="AQ15" s="108"/>
      <c r="AR15" s="106" t="s">
        <v>445</v>
      </c>
      <c r="AS15" s="116"/>
      <c r="AT15" s="106" t="s">
        <v>446</v>
      </c>
      <c r="AU15" s="108"/>
      <c r="AV15" s="106" t="s">
        <v>447</v>
      </c>
      <c r="AW15" s="116"/>
      <c r="AX15" s="106" t="s">
        <v>448</v>
      </c>
      <c r="AY15" s="108"/>
      <c r="AZ15" s="106" t="s">
        <v>449</v>
      </c>
      <c r="BA15" s="116"/>
      <c r="BB15" s="106" t="s">
        <v>450</v>
      </c>
      <c r="BC15" s="108"/>
      <c r="BD15" s="106" t="s">
        <v>451</v>
      </c>
      <c r="BE15" s="116"/>
      <c r="BF15" s="106" t="s">
        <v>452</v>
      </c>
      <c r="BG15" s="108"/>
      <c r="BH15" s="106" t="s">
        <v>453</v>
      </c>
      <c r="BI15" s="116"/>
      <c r="BJ15" s="106" t="s">
        <v>454</v>
      </c>
      <c r="BK15" s="108"/>
      <c r="BL15" s="106" t="s">
        <v>455</v>
      </c>
      <c r="BM15" s="116"/>
      <c r="BN15" s="106" t="s">
        <v>456</v>
      </c>
      <c r="BO15" s="108"/>
      <c r="BP15" s="106" t="s">
        <v>457</v>
      </c>
      <c r="BQ15" s="116"/>
      <c r="BR15" s="106" t="s">
        <v>458</v>
      </c>
      <c r="BS15" s="108"/>
      <c r="BT15" s="106" t="s">
        <v>459</v>
      </c>
      <c r="BU15" s="116"/>
      <c r="BV15" s="106" t="s">
        <v>460</v>
      </c>
      <c r="BW15" s="108"/>
      <c r="BX15" s="106" t="s">
        <v>461</v>
      </c>
      <c r="BY15" s="116"/>
      <c r="BZ15" s="106" t="s">
        <v>462</v>
      </c>
      <c r="CA15" s="108"/>
      <c r="CB15" s="106" t="s">
        <v>463</v>
      </c>
      <c r="CC15" s="116"/>
      <c r="CD15" s="106" t="s">
        <v>464</v>
      </c>
      <c r="CE15" s="108"/>
      <c r="CF15" s="106" t="s">
        <v>465</v>
      </c>
      <c r="CG15" s="116"/>
      <c r="CH15" s="106" t="s">
        <v>466</v>
      </c>
      <c r="CI15" s="108"/>
      <c r="CJ15" s="106" t="s">
        <v>467</v>
      </c>
      <c r="CK15" s="116"/>
      <c r="CL15" s="106" t="s">
        <v>468</v>
      </c>
      <c r="CM15" s="108"/>
      <c r="CN15" s="106" t="s">
        <v>469</v>
      </c>
      <c r="CO15" s="116"/>
      <c r="CP15" s="106" t="s">
        <v>470</v>
      </c>
      <c r="CQ15" s="108"/>
      <c r="CR15" s="106" t="s">
        <v>471</v>
      </c>
      <c r="CS15" s="116"/>
      <c r="CT15" s="106" t="s">
        <v>472</v>
      </c>
      <c r="CU15" s="108"/>
      <c r="CV15" s="106" t="s">
        <v>473</v>
      </c>
      <c r="CW15" s="116"/>
      <c r="CX15" s="106" t="s">
        <v>474</v>
      </c>
      <c r="CY15" s="108"/>
      <c r="CZ15" s="106" t="s">
        <v>475</v>
      </c>
      <c r="DA15" s="116"/>
      <c r="DB15" s="106" t="s">
        <v>476</v>
      </c>
      <c r="DC15" s="108"/>
      <c r="DD15" s="106" t="s">
        <v>477</v>
      </c>
      <c r="DE15" s="108"/>
    </row>
    <row r="16" spans="1:109" s="17" customFormat="1" ht="29.4" thickBot="1" x14ac:dyDescent="0.35">
      <c r="A16" s="89" t="s">
        <v>422</v>
      </c>
      <c r="B16" s="93" t="s">
        <v>532</v>
      </c>
      <c r="C16" s="99" t="s">
        <v>549</v>
      </c>
      <c r="D16" s="100"/>
      <c r="E16" s="100"/>
      <c r="F16" s="100"/>
      <c r="G16" s="80"/>
      <c r="H16" s="117">
        <v>45965</v>
      </c>
      <c r="I16" s="118"/>
      <c r="J16" s="117">
        <f>WORKDAY.INTL(H16,1,"0010000")</f>
        <v>45967</v>
      </c>
      <c r="K16" s="118"/>
      <c r="L16" s="117">
        <f>WORKDAY.INTL(J16,1,"0010000")</f>
        <v>45968</v>
      </c>
      <c r="M16" s="118"/>
      <c r="N16" s="117">
        <f>WORKDAY.INTL(L16,1,"0010000")</f>
        <v>45969</v>
      </c>
      <c r="O16" s="118"/>
      <c r="P16" s="117">
        <f>WORKDAY.INTL(N16,1,"0010000")</f>
        <v>45970</v>
      </c>
      <c r="Q16" s="118"/>
      <c r="R16" s="117">
        <f>WORKDAY.INTL(P16,1,"0010000")</f>
        <v>45971</v>
      </c>
      <c r="S16" s="118"/>
      <c r="T16" s="117">
        <f>WORKDAY.INTL(R16,1,"0010000")</f>
        <v>45972</v>
      </c>
      <c r="U16" s="118"/>
      <c r="V16" s="117">
        <f>WORKDAY.INTL(T16,1,"0010000")</f>
        <v>45974</v>
      </c>
      <c r="W16" s="118"/>
      <c r="X16" s="117">
        <f>WORKDAY.INTL(V16,1,"0010000")</f>
        <v>45975</v>
      </c>
      <c r="Y16" s="118"/>
      <c r="Z16" s="117">
        <f>WORKDAY.INTL(X16,1,"0010000")</f>
        <v>45976</v>
      </c>
      <c r="AA16" s="118"/>
      <c r="AB16" s="117">
        <f>WORKDAY.INTL(Z16,1,"0010000")</f>
        <v>45977</v>
      </c>
      <c r="AC16" s="118"/>
      <c r="AD16" s="117">
        <f>WORKDAY.INTL(AB16,1,"0010000")</f>
        <v>45978</v>
      </c>
      <c r="AE16" s="118"/>
      <c r="AF16" s="117">
        <f>WORKDAY.INTL(AD16,1,"0010000")</f>
        <v>45979</v>
      </c>
      <c r="AG16" s="118"/>
      <c r="AH16" s="117">
        <f>WORKDAY.INTL(AF16,1,"0010000")</f>
        <v>45981</v>
      </c>
      <c r="AI16" s="118"/>
      <c r="AJ16" s="117">
        <f>WORKDAY.INTL(AH16,1,"0010000")</f>
        <v>45982</v>
      </c>
      <c r="AK16" s="118"/>
      <c r="AL16" s="117">
        <f>WORKDAY.INTL(AJ16,1,"0010000")</f>
        <v>45983</v>
      </c>
      <c r="AM16" s="118"/>
      <c r="AN16" s="117">
        <f>WORKDAY.INTL(AL16,1,"0010000")</f>
        <v>45984</v>
      </c>
      <c r="AO16" s="118"/>
      <c r="AP16" s="117">
        <f>WORKDAY.INTL(AN16,1,"0010000")</f>
        <v>45985</v>
      </c>
      <c r="AQ16" s="118"/>
      <c r="AR16" s="117">
        <f>WORKDAY.INTL(AP16,1,"0010000")</f>
        <v>45986</v>
      </c>
      <c r="AS16" s="118"/>
      <c r="AT16" s="117">
        <f>WORKDAY.INTL(AR16,1,"0010000")</f>
        <v>45988</v>
      </c>
      <c r="AU16" s="118"/>
      <c r="AV16" s="117">
        <f>WORKDAY.INTL(AT16,1,"0010000")</f>
        <v>45989</v>
      </c>
      <c r="AW16" s="118"/>
      <c r="AX16" s="117">
        <f>WORKDAY.INTL(AV16,1,"0010000")</f>
        <v>45990</v>
      </c>
      <c r="AY16" s="118"/>
      <c r="AZ16" s="117">
        <f>WORKDAY.INTL(AX16,1,"0010000")</f>
        <v>45991</v>
      </c>
      <c r="BA16" s="118"/>
      <c r="BB16" s="117">
        <f>WORKDAY.INTL(AZ16,1,"0010000")</f>
        <v>45992</v>
      </c>
      <c r="BC16" s="118"/>
      <c r="BD16" s="117">
        <f>WORKDAY.INTL(BB16,1,"0010000")</f>
        <v>45993</v>
      </c>
      <c r="BE16" s="118"/>
      <c r="BF16" s="117">
        <f>WORKDAY.INTL(BD16,1,"0010000")</f>
        <v>45995</v>
      </c>
      <c r="BG16" s="118"/>
      <c r="BH16" s="117">
        <f>WORKDAY.INTL(BF16,1,"0010000")</f>
        <v>45996</v>
      </c>
      <c r="BI16" s="118"/>
      <c r="BJ16" s="117">
        <f>WORKDAY.INTL(BH16,1,"0010000")</f>
        <v>45997</v>
      </c>
      <c r="BK16" s="118"/>
      <c r="BL16" s="117">
        <f>WORKDAY.INTL(BJ16,1,"0010000")</f>
        <v>45998</v>
      </c>
      <c r="BM16" s="118"/>
      <c r="BN16" s="117">
        <f>WORKDAY.INTL(BL16,1,"0010000")</f>
        <v>45999</v>
      </c>
      <c r="BO16" s="118"/>
      <c r="BP16" s="117">
        <f>WORKDAY.INTL(BN16,1,"0010000")</f>
        <v>46000</v>
      </c>
      <c r="BQ16" s="118"/>
      <c r="BR16" s="117">
        <f>WORKDAY.INTL(BP16,1,"0010000")</f>
        <v>46002</v>
      </c>
      <c r="BS16" s="118"/>
      <c r="BT16" s="117">
        <f>WORKDAY.INTL(BR16,1,"0010000")</f>
        <v>46003</v>
      </c>
      <c r="BU16" s="118"/>
      <c r="BV16" s="117">
        <f>WORKDAY.INTL(BT16,1,"0010000")</f>
        <v>46004</v>
      </c>
      <c r="BW16" s="118"/>
      <c r="BX16" s="117">
        <f>WORKDAY.INTL(BV16,1,"0010000")</f>
        <v>46005</v>
      </c>
      <c r="BY16" s="118"/>
      <c r="BZ16" s="117">
        <f>WORKDAY.INTL(BX16,1,"0010000")</f>
        <v>46006</v>
      </c>
      <c r="CA16" s="118"/>
      <c r="CB16" s="117">
        <f>WORKDAY.INTL(BZ16,1,"0010000")</f>
        <v>46007</v>
      </c>
      <c r="CC16" s="118"/>
      <c r="CD16" s="117">
        <f>WORKDAY.INTL(CB16,1,"0010000")</f>
        <v>46009</v>
      </c>
      <c r="CE16" s="118"/>
      <c r="CF16" s="117">
        <f>WORKDAY.INTL(CD16,1,"0010000")</f>
        <v>46010</v>
      </c>
      <c r="CG16" s="118"/>
      <c r="CH16" s="117">
        <f>WORKDAY.INTL(CF16,1,"0010000")</f>
        <v>46011</v>
      </c>
      <c r="CI16" s="118"/>
      <c r="CJ16" s="117">
        <f>WORKDAY.INTL(CH16,1,"0010000")</f>
        <v>46012</v>
      </c>
      <c r="CK16" s="118"/>
      <c r="CL16" s="117">
        <f>WORKDAY.INTL(CJ16,1,"0010000")</f>
        <v>46013</v>
      </c>
      <c r="CM16" s="118"/>
      <c r="CN16" s="117">
        <f>WORKDAY.INTL(CL16,1,"0010000")</f>
        <v>46014</v>
      </c>
      <c r="CO16" s="118"/>
      <c r="CP16" s="117">
        <f>WORKDAY.INTL(CN16,1,"0010000")</f>
        <v>46016</v>
      </c>
      <c r="CQ16" s="118"/>
      <c r="CR16" s="117">
        <f>WORKDAY.INTL(CP16,1,"0010000")</f>
        <v>46017</v>
      </c>
      <c r="CS16" s="118"/>
      <c r="CT16" s="117">
        <f>WORKDAY.INTL(CR16,1,"0010000")</f>
        <v>46018</v>
      </c>
      <c r="CU16" s="118"/>
      <c r="CV16" s="117">
        <f>WORKDAY.INTL(CT16,1,"0010000")</f>
        <v>46019</v>
      </c>
      <c r="CW16" s="118"/>
      <c r="CX16" s="117">
        <f>WORKDAY.INTL(CV16,1,"0010000")</f>
        <v>46020</v>
      </c>
      <c r="CY16" s="118"/>
      <c r="CZ16" s="117">
        <f>WORKDAY.INTL(CX16,1,"0010000")</f>
        <v>46021</v>
      </c>
      <c r="DA16" s="118"/>
      <c r="DB16" s="117">
        <f>WORKDAY.INTL(CZ16,1,"0010000")</f>
        <v>46023</v>
      </c>
      <c r="DC16" s="118"/>
      <c r="DD16" s="117">
        <f>WORKDAY.INTL(DB16,1,"0010000")</f>
        <v>46024</v>
      </c>
      <c r="DE16" s="118"/>
    </row>
    <row r="17" spans="1:109" ht="57.6" x14ac:dyDescent="0.3">
      <c r="A17" s="38" t="s">
        <v>186</v>
      </c>
      <c r="B17" s="39" t="s">
        <v>319</v>
      </c>
      <c r="C17" s="40" t="s">
        <v>419</v>
      </c>
      <c r="D17" s="38" t="s">
        <v>420</v>
      </c>
      <c r="E17" s="40" t="s">
        <v>421</v>
      </c>
      <c r="F17" s="38" t="s">
        <v>479</v>
      </c>
      <c r="G17" s="43" t="s">
        <v>424</v>
      </c>
      <c r="H17" s="30" t="s">
        <v>425</v>
      </c>
      <c r="I17" s="31" t="s">
        <v>426</v>
      </c>
      <c r="J17" s="30" t="s">
        <v>425</v>
      </c>
      <c r="K17" s="31" t="s">
        <v>426</v>
      </c>
      <c r="L17" s="30" t="s">
        <v>425</v>
      </c>
      <c r="M17" s="31" t="s">
        <v>426</v>
      </c>
      <c r="N17" s="30" t="s">
        <v>425</v>
      </c>
      <c r="O17" s="31" t="s">
        <v>426</v>
      </c>
      <c r="P17" s="30" t="s">
        <v>425</v>
      </c>
      <c r="Q17" s="31" t="s">
        <v>426</v>
      </c>
      <c r="R17" s="30" t="s">
        <v>425</v>
      </c>
      <c r="S17" s="31" t="s">
        <v>426</v>
      </c>
      <c r="T17" s="30" t="s">
        <v>425</v>
      </c>
      <c r="U17" s="31" t="s">
        <v>426</v>
      </c>
      <c r="V17" s="30" t="s">
        <v>425</v>
      </c>
      <c r="W17" s="31" t="s">
        <v>426</v>
      </c>
      <c r="X17" s="30" t="s">
        <v>425</v>
      </c>
      <c r="Y17" s="31" t="s">
        <v>426</v>
      </c>
      <c r="Z17" s="30" t="s">
        <v>425</v>
      </c>
      <c r="AA17" s="31" t="s">
        <v>426</v>
      </c>
      <c r="AB17" s="30" t="s">
        <v>425</v>
      </c>
      <c r="AC17" s="31" t="s">
        <v>426</v>
      </c>
      <c r="AD17" s="30" t="s">
        <v>425</v>
      </c>
      <c r="AE17" s="31" t="s">
        <v>426</v>
      </c>
      <c r="AF17" s="30" t="s">
        <v>425</v>
      </c>
      <c r="AG17" s="31" t="s">
        <v>426</v>
      </c>
      <c r="AH17" s="30" t="s">
        <v>425</v>
      </c>
      <c r="AI17" s="31" t="s">
        <v>426</v>
      </c>
      <c r="AJ17" s="30" t="s">
        <v>425</v>
      </c>
      <c r="AK17" s="31" t="s">
        <v>426</v>
      </c>
      <c r="AL17" s="30" t="s">
        <v>425</v>
      </c>
      <c r="AM17" s="31" t="s">
        <v>426</v>
      </c>
      <c r="AN17" s="30" t="s">
        <v>425</v>
      </c>
      <c r="AO17" s="31" t="s">
        <v>426</v>
      </c>
      <c r="AP17" s="30" t="s">
        <v>425</v>
      </c>
      <c r="AQ17" s="31" t="s">
        <v>426</v>
      </c>
      <c r="AR17" s="30" t="s">
        <v>425</v>
      </c>
      <c r="AS17" s="31" t="s">
        <v>426</v>
      </c>
      <c r="AT17" s="30" t="s">
        <v>425</v>
      </c>
      <c r="AU17" s="31" t="s">
        <v>426</v>
      </c>
      <c r="AV17" s="30" t="s">
        <v>425</v>
      </c>
      <c r="AW17" s="31" t="s">
        <v>426</v>
      </c>
      <c r="AX17" s="30" t="s">
        <v>425</v>
      </c>
      <c r="AY17" s="31" t="s">
        <v>426</v>
      </c>
      <c r="AZ17" s="30" t="s">
        <v>425</v>
      </c>
      <c r="BA17" s="31" t="s">
        <v>426</v>
      </c>
      <c r="BB17" s="30" t="s">
        <v>425</v>
      </c>
      <c r="BC17" s="31" t="s">
        <v>426</v>
      </c>
      <c r="BD17" s="30" t="s">
        <v>425</v>
      </c>
      <c r="BE17" s="31" t="s">
        <v>426</v>
      </c>
      <c r="BF17" s="30" t="s">
        <v>425</v>
      </c>
      <c r="BG17" s="31" t="s">
        <v>426</v>
      </c>
      <c r="BH17" s="30" t="s">
        <v>425</v>
      </c>
      <c r="BI17" s="31" t="s">
        <v>426</v>
      </c>
      <c r="BJ17" s="30" t="s">
        <v>425</v>
      </c>
      <c r="BK17" s="31" t="s">
        <v>426</v>
      </c>
      <c r="BL17" s="30" t="s">
        <v>425</v>
      </c>
      <c r="BM17" s="31" t="s">
        <v>426</v>
      </c>
      <c r="BN17" s="30" t="s">
        <v>425</v>
      </c>
      <c r="BO17" s="31" t="s">
        <v>426</v>
      </c>
      <c r="BP17" s="30" t="s">
        <v>425</v>
      </c>
      <c r="BQ17" s="31" t="s">
        <v>426</v>
      </c>
      <c r="BR17" s="30" t="s">
        <v>425</v>
      </c>
      <c r="BS17" s="31" t="s">
        <v>426</v>
      </c>
      <c r="BT17" s="30" t="s">
        <v>425</v>
      </c>
      <c r="BU17" s="31" t="s">
        <v>426</v>
      </c>
      <c r="BV17" s="30" t="s">
        <v>425</v>
      </c>
      <c r="BW17" s="31" t="s">
        <v>426</v>
      </c>
      <c r="BX17" s="30" t="s">
        <v>425</v>
      </c>
      <c r="BY17" s="31" t="s">
        <v>426</v>
      </c>
      <c r="BZ17" s="30" t="s">
        <v>425</v>
      </c>
      <c r="CA17" s="31" t="s">
        <v>426</v>
      </c>
      <c r="CB17" s="30" t="s">
        <v>425</v>
      </c>
      <c r="CC17" s="31" t="s">
        <v>426</v>
      </c>
      <c r="CD17" s="30" t="s">
        <v>425</v>
      </c>
      <c r="CE17" s="31" t="s">
        <v>426</v>
      </c>
      <c r="CF17" s="30" t="s">
        <v>425</v>
      </c>
      <c r="CG17" s="31" t="s">
        <v>426</v>
      </c>
      <c r="CH17" s="30" t="s">
        <v>425</v>
      </c>
      <c r="CI17" s="31" t="s">
        <v>426</v>
      </c>
      <c r="CJ17" s="30" t="s">
        <v>425</v>
      </c>
      <c r="CK17" s="31" t="s">
        <v>426</v>
      </c>
      <c r="CL17" s="30" t="s">
        <v>425</v>
      </c>
      <c r="CM17" s="31" t="s">
        <v>426</v>
      </c>
      <c r="CN17" s="30" t="s">
        <v>425</v>
      </c>
      <c r="CO17" s="31" t="s">
        <v>426</v>
      </c>
      <c r="CP17" s="30" t="s">
        <v>425</v>
      </c>
      <c r="CQ17" s="31" t="s">
        <v>426</v>
      </c>
      <c r="CR17" s="30" t="s">
        <v>425</v>
      </c>
      <c r="CS17" s="31" t="s">
        <v>426</v>
      </c>
      <c r="CT17" s="30" t="s">
        <v>425</v>
      </c>
      <c r="CU17" s="31" t="s">
        <v>426</v>
      </c>
      <c r="CV17" s="30" t="s">
        <v>425</v>
      </c>
      <c r="CW17" s="31" t="s">
        <v>426</v>
      </c>
      <c r="CX17" s="30" t="s">
        <v>425</v>
      </c>
      <c r="CY17" s="31" t="s">
        <v>426</v>
      </c>
      <c r="CZ17" s="30" t="s">
        <v>425</v>
      </c>
      <c r="DA17" s="31" t="s">
        <v>426</v>
      </c>
      <c r="DB17" s="30" t="s">
        <v>425</v>
      </c>
      <c r="DC17" s="31" t="s">
        <v>426</v>
      </c>
      <c r="DD17" s="30" t="s">
        <v>425</v>
      </c>
      <c r="DE17" s="31" t="s">
        <v>426</v>
      </c>
    </row>
    <row r="18" spans="1:109" x14ac:dyDescent="0.3">
      <c r="A18" s="3" t="s">
        <v>113</v>
      </c>
      <c r="B18" s="3" t="str">
        <f>_xlfn.XLOOKUP(A18,'Raw Material Requirement'!$A$4:$A$28,'Raw Material Requirement'!$B$4:$B$28)</f>
        <v>White</v>
      </c>
      <c r="C18" s="3">
        <f>_xlfn.XLOOKUP(A18,'Raw Material Requirement'!$A$4:$A$28,'Raw Material Requirement'!$N$4:$N$28)</f>
        <v>403200</v>
      </c>
      <c r="D18" s="2" cm="1">
        <f t="array" ref="D18">SUMPRODUCT((MOD(COLUMN($I18:$FN18)-COLUMN($I18),2)=0)*($I18:$FN18))</f>
        <v>0</v>
      </c>
      <c r="E18" s="6">
        <f>C18-D18</f>
        <v>403200</v>
      </c>
      <c r="F18" s="42">
        <f>'Mold Daily Output'!$F$12*2</f>
        <v>52800</v>
      </c>
      <c r="G18" s="44">
        <f t="shared" ref="G18:G26" si="4">E18/F18</f>
        <v>7.6363636363636367</v>
      </c>
      <c r="H18" s="2">
        <v>52800</v>
      </c>
      <c r="I18" s="6"/>
      <c r="J18" s="2">
        <v>52800</v>
      </c>
      <c r="K18" s="6"/>
      <c r="L18" s="2">
        <v>52800</v>
      </c>
      <c r="M18" s="6"/>
      <c r="N18" s="2">
        <v>52800</v>
      </c>
      <c r="O18" s="6"/>
      <c r="P18" s="2">
        <v>52800</v>
      </c>
      <c r="Q18" s="6"/>
      <c r="R18" s="2">
        <v>52800</v>
      </c>
      <c r="S18" s="6"/>
      <c r="T18" s="2">
        <v>52800</v>
      </c>
      <c r="U18" s="6"/>
      <c r="V18" s="2">
        <v>33600</v>
      </c>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row>
    <row r="19" spans="1:109" x14ac:dyDescent="0.3">
      <c r="A19" s="3" t="s">
        <v>171</v>
      </c>
      <c r="B19" s="3" t="str">
        <f>_xlfn.XLOOKUP(A19,'Raw Material Requirement'!$A$4:$A$28,'Raw Material Requirement'!$B$4:$B$28)</f>
        <v>Blue</v>
      </c>
      <c r="C19" s="3">
        <f>_xlfn.XLOOKUP(A19,'Raw Material Requirement'!$A$4:$A$28,'Raw Material Requirement'!$N$4:$N$28)</f>
        <v>336000</v>
      </c>
      <c r="D19" s="2" cm="1">
        <f t="array" ref="D19">SUMPRODUCT((MOD(COLUMN($I19:$FN19)-COLUMN($I19),2)=0)*($I19:$FN19))</f>
        <v>0</v>
      </c>
      <c r="E19" s="6">
        <f t="shared" ref="E19:E26" si="5">C19-D19</f>
        <v>336000</v>
      </c>
      <c r="F19" s="42">
        <f>'Mold Daily Output'!$F$12*2</f>
        <v>52800</v>
      </c>
      <c r="G19" s="44">
        <f t="shared" si="4"/>
        <v>6.3636363636363633</v>
      </c>
      <c r="H19" s="2"/>
      <c r="I19" s="6"/>
      <c r="J19" s="2"/>
      <c r="K19" s="6"/>
      <c r="L19" s="2"/>
      <c r="M19" s="6"/>
      <c r="N19" s="2"/>
      <c r="O19" s="6"/>
      <c r="P19" s="2"/>
      <c r="Q19" s="6"/>
      <c r="R19" s="2"/>
      <c r="S19" s="6"/>
      <c r="T19" s="2"/>
      <c r="U19" s="6"/>
      <c r="V19" s="2">
        <v>16000</v>
      </c>
      <c r="W19" s="6"/>
      <c r="X19" s="2">
        <v>52800</v>
      </c>
      <c r="Y19" s="6"/>
      <c r="Z19" s="2">
        <v>52800</v>
      </c>
      <c r="AA19" s="6"/>
      <c r="AB19" s="2">
        <v>52800</v>
      </c>
      <c r="AC19" s="6"/>
      <c r="AD19" s="2">
        <v>52800</v>
      </c>
      <c r="AE19" s="6"/>
      <c r="AF19" s="2">
        <v>52800</v>
      </c>
      <c r="AG19" s="6"/>
      <c r="AH19" s="2">
        <v>52800</v>
      </c>
      <c r="AI19" s="6"/>
      <c r="AJ19" s="2">
        <v>3200</v>
      </c>
      <c r="AK19" s="6"/>
      <c r="AL19" s="2"/>
      <c r="AM19" s="6"/>
      <c r="AN19" s="2"/>
      <c r="AO19" s="6"/>
      <c r="AP19" s="2"/>
      <c r="AQ19" s="6"/>
      <c r="AR19" s="2"/>
      <c r="AS19" s="6"/>
      <c r="AT19" s="2"/>
      <c r="AU19" s="6"/>
      <c r="AV19" s="2"/>
      <c r="AW19" s="6"/>
      <c r="AX19" s="2"/>
      <c r="AY19" s="6"/>
      <c r="AZ19" s="2"/>
      <c r="BA19" s="6"/>
      <c r="BB19" s="2"/>
      <c r="BC19" s="6"/>
      <c r="BD19" s="2"/>
      <c r="BE19" s="6"/>
      <c r="BF19" s="2"/>
      <c r="BG19" s="6"/>
      <c r="BH19" s="2"/>
      <c r="BI19" s="6"/>
      <c r="BJ19" s="2"/>
      <c r="BK19" s="6"/>
      <c r="BL19" s="2"/>
      <c r="BM19" s="6"/>
      <c r="BN19" s="2"/>
      <c r="BO19" s="6"/>
      <c r="BP19" s="2"/>
      <c r="BQ19" s="6"/>
      <c r="BR19" s="2"/>
      <c r="BS19" s="6"/>
      <c r="BT19" s="2"/>
      <c r="BU19" s="6"/>
      <c r="BV19" s="2"/>
      <c r="BW19" s="6"/>
      <c r="BX19" s="2"/>
      <c r="BY19" s="6"/>
      <c r="BZ19" s="2"/>
      <c r="CA19" s="6"/>
      <c r="CB19" s="2"/>
      <c r="CC19" s="6"/>
      <c r="CD19" s="2"/>
      <c r="CE19" s="6"/>
      <c r="CF19" s="2"/>
      <c r="CG19" s="6"/>
      <c r="CH19" s="2"/>
      <c r="CI19" s="6"/>
      <c r="CJ19" s="2"/>
      <c r="CK19" s="6"/>
      <c r="CL19" s="2"/>
      <c r="CM19" s="6"/>
      <c r="CN19" s="2"/>
      <c r="CO19" s="6"/>
      <c r="CP19" s="2"/>
      <c r="CQ19" s="6"/>
      <c r="CR19" s="2"/>
      <c r="CS19" s="6"/>
      <c r="CT19" s="2"/>
      <c r="CU19" s="6"/>
      <c r="CV19" s="2"/>
      <c r="CW19" s="6"/>
      <c r="CX19" s="2"/>
      <c r="CY19" s="6"/>
      <c r="CZ19" s="2"/>
      <c r="DA19" s="6"/>
      <c r="DB19" s="2"/>
      <c r="DC19" s="6"/>
      <c r="DD19" s="2"/>
      <c r="DE19" s="6"/>
    </row>
    <row r="20" spans="1:109" x14ac:dyDescent="0.3">
      <c r="A20" s="3" t="s">
        <v>170</v>
      </c>
      <c r="B20" s="3" t="str">
        <f>_xlfn.XLOOKUP(A20,'Raw Material Requirement'!$A$4:$A$28,'Raw Material Requirement'!$B$4:$B$28)</f>
        <v>Black</v>
      </c>
      <c r="C20" s="3">
        <f>_xlfn.XLOOKUP(A20,'Raw Material Requirement'!$A$4:$A$28,'Raw Material Requirement'!$N$4:$N$28)</f>
        <v>268800</v>
      </c>
      <c r="D20" s="2" cm="1">
        <f t="array" ref="D20">SUMPRODUCT((MOD(COLUMN($I20:$FN20)-COLUMN($I20),2)=0)*($I20:$FN20))</f>
        <v>0</v>
      </c>
      <c r="E20" s="6">
        <f t="shared" ref="E20:E21" si="6">C20-D20</f>
        <v>268800</v>
      </c>
      <c r="F20" s="42">
        <f>'Mold Daily Output'!$F$12*2</f>
        <v>52800</v>
      </c>
      <c r="G20" s="44">
        <f t="shared" si="4"/>
        <v>5.0909090909090908</v>
      </c>
      <c r="H20" s="2"/>
      <c r="I20" s="6"/>
      <c r="J20" s="2"/>
      <c r="K20" s="6"/>
      <c r="L20" s="2"/>
      <c r="M20" s="6"/>
      <c r="N20" s="2"/>
      <c r="O20" s="6"/>
      <c r="P20" s="2"/>
      <c r="Q20" s="6"/>
      <c r="R20" s="2"/>
      <c r="S20" s="6"/>
      <c r="T20" s="2"/>
      <c r="U20" s="6"/>
      <c r="V20" s="2"/>
      <c r="W20" s="6"/>
      <c r="X20" s="2"/>
      <c r="Y20" s="6"/>
      <c r="Z20" s="2"/>
      <c r="AA20" s="6"/>
      <c r="AB20" s="2"/>
      <c r="AC20" s="6"/>
      <c r="AD20" s="2"/>
      <c r="AE20" s="6"/>
      <c r="AF20" s="2"/>
      <c r="AG20" s="6"/>
      <c r="AH20" s="2"/>
      <c r="AI20" s="6"/>
      <c r="AJ20" s="2"/>
      <c r="AK20" s="6"/>
      <c r="AL20" s="2">
        <v>52800</v>
      </c>
      <c r="AM20" s="6"/>
      <c r="AN20" s="2">
        <v>52800</v>
      </c>
      <c r="AO20" s="6"/>
      <c r="AP20" s="2">
        <v>52800</v>
      </c>
      <c r="AQ20" s="6"/>
      <c r="AR20" s="2">
        <v>52800</v>
      </c>
      <c r="AS20" s="6"/>
      <c r="AT20" s="2">
        <v>52800</v>
      </c>
      <c r="AU20" s="6"/>
      <c r="AV20" s="2">
        <v>4800</v>
      </c>
      <c r="AW20" s="6"/>
      <c r="AX20" s="2"/>
      <c r="AY20" s="6"/>
      <c r="AZ20" s="2"/>
      <c r="BA20" s="6"/>
      <c r="BB20" s="2"/>
      <c r="BC20" s="6"/>
      <c r="BD20" s="2"/>
      <c r="BE20" s="6"/>
      <c r="BF20" s="2"/>
      <c r="BG20" s="6"/>
      <c r="BH20" s="2"/>
      <c r="BI20" s="6"/>
      <c r="BJ20" s="2"/>
      <c r="BK20" s="6"/>
      <c r="BL20" s="2"/>
      <c r="BM20" s="6"/>
      <c r="BN20" s="2"/>
      <c r="BO20" s="6"/>
      <c r="BP20" s="2"/>
      <c r="BQ20" s="6"/>
      <c r="BR20" s="2"/>
      <c r="BS20" s="6"/>
      <c r="BT20" s="2"/>
      <c r="BU20" s="6"/>
      <c r="BV20" s="2"/>
      <c r="BW20" s="6"/>
      <c r="BX20" s="2"/>
      <c r="BY20" s="6"/>
      <c r="BZ20" s="2"/>
      <c r="CA20" s="6"/>
      <c r="CB20" s="2"/>
      <c r="CC20" s="6"/>
      <c r="CD20" s="2"/>
      <c r="CE20" s="6"/>
      <c r="CF20" s="2"/>
      <c r="CG20" s="6"/>
      <c r="CH20" s="2"/>
      <c r="CI20" s="6"/>
      <c r="CJ20" s="2"/>
      <c r="CK20" s="6"/>
      <c r="CL20" s="2"/>
      <c r="CM20" s="6"/>
      <c r="CN20" s="2"/>
      <c r="CO20" s="6"/>
      <c r="CP20" s="2"/>
      <c r="CQ20" s="6"/>
      <c r="CR20" s="2"/>
      <c r="CS20" s="6"/>
      <c r="CT20" s="2"/>
      <c r="CU20" s="6"/>
      <c r="CV20" s="2"/>
      <c r="CW20" s="6"/>
      <c r="CX20" s="2"/>
      <c r="CY20" s="6"/>
      <c r="CZ20" s="2"/>
      <c r="DA20" s="6"/>
      <c r="DB20" s="2"/>
      <c r="DC20" s="6"/>
      <c r="DD20" s="2"/>
      <c r="DE20" s="6"/>
    </row>
    <row r="21" spans="1:109" x14ac:dyDescent="0.3">
      <c r="A21" s="3" t="s">
        <v>173</v>
      </c>
      <c r="B21" s="3" t="str">
        <f>_xlfn.XLOOKUP(A21,'Raw Material Requirement'!$A$4:$A$28,'Raw Material Requirement'!$B$4:$B$28)</f>
        <v>Red</v>
      </c>
      <c r="C21" s="3">
        <f>_xlfn.XLOOKUP(A21,'Raw Material Requirement'!$A$4:$A$28,'Raw Material Requirement'!$N$4:$N$28)</f>
        <v>201600</v>
      </c>
      <c r="D21" s="2" cm="1">
        <f t="array" ref="D21">SUMPRODUCT((MOD(COLUMN($I21:$FN21)-COLUMN($I21),2)=0)*($I21:$FN21))</f>
        <v>0</v>
      </c>
      <c r="E21" s="6">
        <f t="shared" si="6"/>
        <v>201600</v>
      </c>
      <c r="F21" s="42">
        <f>'Mold Daily Output'!$F$12*2</f>
        <v>52800</v>
      </c>
      <c r="G21" s="44">
        <f t="shared" si="4"/>
        <v>3.8181818181818183</v>
      </c>
      <c r="H21" s="2"/>
      <c r="I21" s="6"/>
      <c r="J21" s="2"/>
      <c r="K21" s="6"/>
      <c r="L21" s="2"/>
      <c r="M21" s="6"/>
      <c r="N21" s="2"/>
      <c r="O21" s="6"/>
      <c r="P21" s="2"/>
      <c r="Q21" s="6"/>
      <c r="R21" s="2"/>
      <c r="S21" s="6"/>
      <c r="T21" s="2"/>
      <c r="U21" s="6"/>
      <c r="V21" s="2"/>
      <c r="W21" s="6"/>
      <c r="X21" s="2"/>
      <c r="Y21" s="6"/>
      <c r="Z21" s="2"/>
      <c r="AA21" s="6"/>
      <c r="AB21" s="2"/>
      <c r="AC21" s="6"/>
      <c r="AD21" s="2"/>
      <c r="AE21" s="6"/>
      <c r="AF21" s="2"/>
      <c r="AG21" s="6"/>
      <c r="AH21" s="2"/>
      <c r="AI21" s="6"/>
      <c r="AJ21" s="2"/>
      <c r="AK21" s="6"/>
      <c r="AL21" s="2"/>
      <c r="AM21" s="6"/>
      <c r="AN21" s="2"/>
      <c r="AO21" s="6"/>
      <c r="AP21" s="2"/>
      <c r="AQ21" s="6"/>
      <c r="AR21" s="2"/>
      <c r="AS21" s="6"/>
      <c r="AT21" s="2"/>
      <c r="AU21" s="6"/>
      <c r="AV21" s="2">
        <v>45000</v>
      </c>
      <c r="AW21" s="6"/>
      <c r="AX21" s="2">
        <v>52800</v>
      </c>
      <c r="AY21" s="6"/>
      <c r="AZ21" s="2">
        <v>52800</v>
      </c>
      <c r="BA21" s="6"/>
      <c r="BB21" s="2">
        <v>51000</v>
      </c>
      <c r="BC21" s="6"/>
      <c r="BD21" s="2"/>
      <c r="BE21" s="6"/>
      <c r="BF21" s="2"/>
      <c r="BG21" s="6"/>
      <c r="BH21" s="2"/>
      <c r="BI21" s="6"/>
      <c r="BJ21" s="2"/>
      <c r="BK21" s="6"/>
      <c r="BL21" s="2"/>
      <c r="BM21" s="6"/>
      <c r="BN21" s="2"/>
      <c r="BO21" s="6"/>
      <c r="BP21" s="2"/>
      <c r="BQ21" s="6"/>
      <c r="BR21" s="2"/>
      <c r="BS21" s="6"/>
      <c r="BT21" s="2"/>
      <c r="BU21" s="6"/>
      <c r="BV21" s="2"/>
      <c r="BW21" s="6"/>
      <c r="BX21" s="2"/>
      <c r="BY21" s="6"/>
      <c r="BZ21" s="2"/>
      <c r="CA21" s="6"/>
      <c r="CB21" s="2"/>
      <c r="CC21" s="6"/>
      <c r="CD21" s="2"/>
      <c r="CE21" s="6"/>
      <c r="CF21" s="2"/>
      <c r="CG21" s="6"/>
      <c r="CH21" s="2"/>
      <c r="CI21" s="6"/>
      <c r="CJ21" s="2"/>
      <c r="CK21" s="6"/>
      <c r="CL21" s="2"/>
      <c r="CM21" s="6"/>
      <c r="CN21" s="2"/>
      <c r="CO21" s="6"/>
      <c r="CP21" s="2"/>
      <c r="CQ21" s="6"/>
      <c r="CR21" s="2"/>
      <c r="CS21" s="6"/>
      <c r="CT21" s="2"/>
      <c r="CU21" s="6"/>
      <c r="CV21" s="2"/>
      <c r="CW21" s="6"/>
      <c r="CX21" s="2"/>
      <c r="CY21" s="6"/>
      <c r="CZ21" s="2"/>
      <c r="DA21" s="6"/>
      <c r="DB21" s="2"/>
      <c r="DC21" s="6"/>
      <c r="DD21" s="2"/>
      <c r="DE21" s="6"/>
    </row>
    <row r="22" spans="1:109" x14ac:dyDescent="0.3">
      <c r="A22" s="3" t="s">
        <v>172</v>
      </c>
      <c r="B22" s="3" t="str">
        <f>_xlfn.XLOOKUP(A22,'Raw Material Requirement'!$A$4:$A$28,'Raw Material Requirement'!$B$4:$B$28)</f>
        <v>Green</v>
      </c>
      <c r="C22" s="3">
        <f>_xlfn.XLOOKUP(A22,'Raw Material Requirement'!$A$4:$A$28,'Raw Material Requirement'!$N$4:$N$28)</f>
        <v>100800</v>
      </c>
      <c r="D22" s="2" cm="1">
        <f t="array" ref="D22">SUMPRODUCT((MOD(COLUMN($I22:$FN22)-COLUMN($I22),2)=0)*($I22:$FN22))</f>
        <v>0</v>
      </c>
      <c r="E22" s="6">
        <f t="shared" si="5"/>
        <v>100800</v>
      </c>
      <c r="F22" s="42">
        <f>'Mold Daily Output'!$F$12*2</f>
        <v>52800</v>
      </c>
      <c r="G22" s="44">
        <f t="shared" si="4"/>
        <v>1.9090909090909092</v>
      </c>
      <c r="H22" s="2"/>
      <c r="I22" s="6"/>
      <c r="J22" s="2"/>
      <c r="K22" s="6"/>
      <c r="L22" s="2"/>
      <c r="M22" s="6"/>
      <c r="N22" s="2"/>
      <c r="O22" s="6"/>
      <c r="P22" s="2"/>
      <c r="Q22" s="6"/>
      <c r="R22" s="2"/>
      <c r="S22" s="6"/>
      <c r="T22" s="2"/>
      <c r="U22" s="6"/>
      <c r="V22" s="2"/>
      <c r="W22" s="6"/>
      <c r="X22" s="2"/>
      <c r="Y22" s="6"/>
      <c r="Z22" s="2"/>
      <c r="AA22" s="6"/>
      <c r="AB22" s="2"/>
      <c r="AC22" s="6"/>
      <c r="AD22" s="2"/>
      <c r="AE22" s="6"/>
      <c r="AF22" s="2"/>
      <c r="AG22" s="6"/>
      <c r="AH22" s="2"/>
      <c r="AI22" s="6"/>
      <c r="AJ22" s="2"/>
      <c r="AK22" s="6"/>
      <c r="AL22" s="2"/>
      <c r="AM22" s="6"/>
      <c r="AN22" s="2"/>
      <c r="AO22" s="6"/>
      <c r="AP22" s="2"/>
      <c r="AQ22" s="6"/>
      <c r="AR22" s="2"/>
      <c r="AS22" s="6"/>
      <c r="AT22" s="2"/>
      <c r="AU22" s="6"/>
      <c r="AV22" s="2"/>
      <c r="AW22" s="6"/>
      <c r="AX22" s="2"/>
      <c r="AY22" s="6"/>
      <c r="AZ22" s="2"/>
      <c r="BA22" s="6"/>
      <c r="BB22" s="2"/>
      <c r="BC22" s="6"/>
      <c r="BD22" s="2">
        <v>52800</v>
      </c>
      <c r="BE22" s="6"/>
      <c r="BF22" s="2">
        <v>48000</v>
      </c>
      <c r="BG22" s="6"/>
      <c r="BH22" s="2"/>
      <c r="BI22" s="6"/>
      <c r="BJ22" s="2"/>
      <c r="BK22" s="6"/>
      <c r="BL22" s="2"/>
      <c r="BM22" s="6"/>
      <c r="BN22" s="2"/>
      <c r="BO22" s="6"/>
      <c r="BP22" s="2"/>
      <c r="BQ22" s="6"/>
      <c r="BR22" s="2"/>
      <c r="BS22" s="6"/>
      <c r="BT22" s="2"/>
      <c r="BU22" s="6"/>
      <c r="BV22" s="2"/>
      <c r="BW22" s="6"/>
      <c r="BX22" s="2"/>
      <c r="BY22" s="6"/>
      <c r="BZ22" s="2"/>
      <c r="CA22" s="6"/>
      <c r="CB22" s="2"/>
      <c r="CC22" s="6"/>
      <c r="CD22" s="2"/>
      <c r="CE22" s="6"/>
      <c r="CF22" s="2"/>
      <c r="CG22" s="6"/>
      <c r="CH22" s="2"/>
      <c r="CI22" s="6"/>
      <c r="CJ22" s="2"/>
      <c r="CK22" s="6"/>
      <c r="CL22" s="2"/>
      <c r="CM22" s="6"/>
      <c r="CN22" s="2"/>
      <c r="CO22" s="6"/>
      <c r="CP22" s="2"/>
      <c r="CQ22" s="6"/>
      <c r="CR22" s="2"/>
      <c r="CS22" s="6"/>
      <c r="CT22" s="2"/>
      <c r="CU22" s="6"/>
      <c r="CV22" s="2"/>
      <c r="CW22" s="6"/>
      <c r="CX22" s="2"/>
      <c r="CY22" s="6"/>
      <c r="CZ22" s="2"/>
      <c r="DA22" s="6"/>
      <c r="DB22" s="2"/>
      <c r="DC22" s="6"/>
      <c r="DD22" s="2"/>
      <c r="DE22" s="6"/>
    </row>
    <row r="23" spans="1:109" x14ac:dyDescent="0.3">
      <c r="A23" s="3" t="s">
        <v>176</v>
      </c>
      <c r="B23" s="3" t="str">
        <f>_xlfn.XLOOKUP(A23,'Raw Material Requirement'!$A$4:$A$28,'Raw Material Requirement'!$B$4:$B$28)</f>
        <v>Orange</v>
      </c>
      <c r="C23" s="3">
        <f>_xlfn.XLOOKUP(A23,'Raw Material Requirement'!$A$4:$A$28,'Raw Material Requirement'!$N$4:$N$28)</f>
        <v>100800</v>
      </c>
      <c r="D23" s="2" cm="1">
        <f t="array" ref="D23">SUMPRODUCT((MOD(COLUMN($I23:$FN23)-COLUMN($I23),2)=0)*($I23:$FN23))</f>
        <v>0</v>
      </c>
      <c r="E23" s="6">
        <f t="shared" si="5"/>
        <v>100800</v>
      </c>
      <c r="F23" s="42">
        <f>'Mold Daily Output'!$F$12*2</f>
        <v>52800</v>
      </c>
      <c r="G23" s="44">
        <f t="shared" si="4"/>
        <v>1.9090909090909092</v>
      </c>
      <c r="H23" s="2"/>
      <c r="I23" s="6"/>
      <c r="J23" s="2"/>
      <c r="K23" s="6"/>
      <c r="L23" s="2"/>
      <c r="M23" s="6"/>
      <c r="N23" s="2"/>
      <c r="O23" s="6"/>
      <c r="P23" s="2"/>
      <c r="Q23" s="6"/>
      <c r="R23" s="2"/>
      <c r="S23" s="6"/>
      <c r="T23" s="2"/>
      <c r="U23" s="6"/>
      <c r="V23" s="2"/>
      <c r="W23" s="6"/>
      <c r="X23" s="2"/>
      <c r="Y23" s="6"/>
      <c r="Z23" s="2"/>
      <c r="AA23" s="6"/>
      <c r="AB23" s="2"/>
      <c r="AC23" s="6"/>
      <c r="AD23" s="2"/>
      <c r="AE23" s="6"/>
      <c r="AF23" s="2"/>
      <c r="AG23" s="6"/>
      <c r="AH23" s="2"/>
      <c r="AI23" s="6"/>
      <c r="AJ23" s="2"/>
      <c r="AK23" s="6"/>
      <c r="AL23" s="2"/>
      <c r="AM23" s="6"/>
      <c r="AN23" s="2"/>
      <c r="AO23" s="6"/>
      <c r="AP23" s="2"/>
      <c r="AQ23" s="6"/>
      <c r="AR23" s="2"/>
      <c r="AS23" s="6"/>
      <c r="AT23" s="2"/>
      <c r="AU23" s="6"/>
      <c r="AV23" s="2"/>
      <c r="AW23" s="6"/>
      <c r="AX23" s="2"/>
      <c r="AY23" s="6"/>
      <c r="AZ23" s="2"/>
      <c r="BA23" s="6"/>
      <c r="BB23" s="2"/>
      <c r="BC23" s="6"/>
      <c r="BD23" s="2"/>
      <c r="BE23" s="6"/>
      <c r="BF23" s="2"/>
      <c r="BG23" s="6"/>
      <c r="BH23" s="2">
        <v>52800</v>
      </c>
      <c r="BI23" s="6"/>
      <c r="BJ23" s="2">
        <v>48000</v>
      </c>
      <c r="BK23" s="6"/>
      <c r="BL23" s="2"/>
      <c r="BM23" s="6"/>
      <c r="BN23" s="2"/>
      <c r="BO23" s="6"/>
      <c r="BP23" s="2"/>
      <c r="BQ23" s="6"/>
      <c r="BR23" s="2"/>
      <c r="BS23" s="6"/>
      <c r="BT23" s="2"/>
      <c r="BU23" s="6"/>
      <c r="BV23" s="2"/>
      <c r="BW23" s="6"/>
      <c r="BX23" s="2"/>
      <c r="BY23" s="6"/>
      <c r="BZ23" s="2"/>
      <c r="CA23" s="6"/>
      <c r="CB23" s="2"/>
      <c r="CC23" s="6"/>
      <c r="CD23" s="2"/>
      <c r="CE23" s="6"/>
      <c r="CF23" s="2"/>
      <c r="CG23" s="6"/>
      <c r="CH23" s="2"/>
      <c r="CI23" s="6"/>
      <c r="CJ23" s="2"/>
      <c r="CK23" s="6"/>
      <c r="CL23" s="2"/>
      <c r="CM23" s="6"/>
      <c r="CN23" s="2"/>
      <c r="CO23" s="6"/>
      <c r="CP23" s="2"/>
      <c r="CQ23" s="6"/>
      <c r="CR23" s="2"/>
      <c r="CS23" s="6"/>
      <c r="CT23" s="2"/>
      <c r="CU23" s="6"/>
      <c r="CV23" s="2"/>
      <c r="CW23" s="6"/>
      <c r="CX23" s="2"/>
      <c r="CY23" s="6"/>
      <c r="CZ23" s="2"/>
      <c r="DA23" s="6"/>
      <c r="DB23" s="2"/>
      <c r="DC23" s="6"/>
      <c r="DD23" s="2"/>
      <c r="DE23" s="6"/>
    </row>
    <row r="24" spans="1:109" x14ac:dyDescent="0.3">
      <c r="A24" s="3" t="s">
        <v>177</v>
      </c>
      <c r="B24" s="3" t="str">
        <f>_xlfn.XLOOKUP(A24,'Raw Material Requirement'!$A$4:$A$28,'Raw Material Requirement'!$B$4:$B$28)</f>
        <v>Purple</v>
      </c>
      <c r="C24" s="3">
        <f>_xlfn.XLOOKUP(A24,'Raw Material Requirement'!$A$4:$A$28,'Raw Material Requirement'!$N$4:$N$28)</f>
        <v>50400</v>
      </c>
      <c r="D24" s="2" cm="1">
        <f t="array" ref="D24">SUMPRODUCT((MOD(COLUMN($I24:$FN24)-COLUMN($I24),2)=0)*($I24:$FN24))</f>
        <v>0</v>
      </c>
      <c r="E24" s="6">
        <f t="shared" si="5"/>
        <v>50400</v>
      </c>
      <c r="F24" s="42">
        <f>'Mold Daily Output'!$F$12*2</f>
        <v>52800</v>
      </c>
      <c r="G24" s="44">
        <f t="shared" si="4"/>
        <v>0.95454545454545459</v>
      </c>
      <c r="H24" s="2"/>
      <c r="I24" s="6"/>
      <c r="J24" s="2"/>
      <c r="K24" s="6"/>
      <c r="L24" s="2"/>
      <c r="M24" s="6"/>
      <c r="N24" s="2"/>
      <c r="O24" s="6"/>
      <c r="P24" s="2"/>
      <c r="Q24" s="6"/>
      <c r="R24" s="2"/>
      <c r="S24" s="6"/>
      <c r="T24" s="2"/>
      <c r="U24" s="6"/>
      <c r="V24" s="2"/>
      <c r="W24" s="6"/>
      <c r="X24" s="2"/>
      <c r="Y24" s="6"/>
      <c r="Z24" s="2"/>
      <c r="AA24" s="6"/>
      <c r="AB24" s="2"/>
      <c r="AC24" s="6"/>
      <c r="AD24" s="2"/>
      <c r="AE24" s="6"/>
      <c r="AF24" s="2"/>
      <c r="AG24" s="6"/>
      <c r="AH24" s="2"/>
      <c r="AI24" s="6"/>
      <c r="AJ24" s="2"/>
      <c r="AK24" s="6"/>
      <c r="AL24" s="2"/>
      <c r="AM24" s="6"/>
      <c r="AN24" s="2"/>
      <c r="AO24" s="6"/>
      <c r="AP24" s="2"/>
      <c r="AQ24" s="6"/>
      <c r="AR24" s="2"/>
      <c r="AS24" s="6"/>
      <c r="AT24" s="2"/>
      <c r="AU24" s="6"/>
      <c r="AV24" s="2"/>
      <c r="AW24" s="6"/>
      <c r="AX24" s="2"/>
      <c r="AY24" s="6"/>
      <c r="AZ24" s="2"/>
      <c r="BA24" s="6"/>
      <c r="BB24" s="2"/>
      <c r="BC24" s="6"/>
      <c r="BD24" s="2"/>
      <c r="BE24" s="6"/>
      <c r="BF24" s="2"/>
      <c r="BG24" s="6"/>
      <c r="BH24" s="2"/>
      <c r="BI24" s="6"/>
      <c r="BJ24" s="2"/>
      <c r="BK24" s="6"/>
      <c r="BL24" s="2">
        <v>50400</v>
      </c>
      <c r="BM24" s="6"/>
      <c r="BN24" s="2"/>
      <c r="BO24" s="6"/>
      <c r="BP24" s="2"/>
      <c r="BQ24" s="6"/>
      <c r="BR24" s="2"/>
      <c r="BS24" s="6"/>
      <c r="BT24" s="2"/>
      <c r="BU24" s="6"/>
      <c r="BV24" s="2"/>
      <c r="BW24" s="6"/>
      <c r="BX24" s="2"/>
      <c r="BY24" s="6"/>
      <c r="BZ24" s="2"/>
      <c r="CA24" s="6"/>
      <c r="CB24" s="2"/>
      <c r="CC24" s="6"/>
      <c r="CD24" s="2"/>
      <c r="CE24" s="6"/>
      <c r="CF24" s="2"/>
      <c r="CG24" s="6"/>
      <c r="CH24" s="2"/>
      <c r="CI24" s="6"/>
      <c r="CJ24" s="2"/>
      <c r="CK24" s="6"/>
      <c r="CL24" s="2"/>
      <c r="CM24" s="6"/>
      <c r="CN24" s="2"/>
      <c r="CO24" s="6"/>
      <c r="CP24" s="2"/>
      <c r="CQ24" s="6"/>
      <c r="CR24" s="2"/>
      <c r="CS24" s="6"/>
      <c r="CT24" s="2"/>
      <c r="CU24" s="6"/>
      <c r="CV24" s="2"/>
      <c r="CW24" s="6"/>
      <c r="CX24" s="2"/>
      <c r="CY24" s="6"/>
      <c r="CZ24" s="2"/>
      <c r="DA24" s="6"/>
      <c r="DB24" s="2"/>
      <c r="DC24" s="6"/>
      <c r="DD24" s="2"/>
      <c r="DE24" s="6"/>
    </row>
    <row r="25" spans="1:109" x14ac:dyDescent="0.3">
      <c r="A25" s="3" t="s">
        <v>174</v>
      </c>
      <c r="B25" s="3" t="str">
        <f>_xlfn.XLOOKUP(A25,'Raw Material Requirement'!$A$4:$A$28,'Raw Material Requirement'!$B$4:$B$28)</f>
        <v>Grey</v>
      </c>
      <c r="C25" s="3">
        <f>_xlfn.XLOOKUP(A25,'Raw Material Requirement'!$A$4:$A$28,'Raw Material Requirement'!$N$4:$N$28)</f>
        <v>16800</v>
      </c>
      <c r="D25" s="2" cm="1">
        <f t="array" ref="D25">SUMPRODUCT((MOD(COLUMN($I25:$FN25)-COLUMN($I25),2)=0)*($I25:$FN25))</f>
        <v>0</v>
      </c>
      <c r="E25" s="6">
        <f t="shared" si="5"/>
        <v>16800</v>
      </c>
      <c r="F25" s="42">
        <f>'Mold Daily Output'!$F$12*2</f>
        <v>52800</v>
      </c>
      <c r="G25" s="44">
        <f t="shared" si="4"/>
        <v>0.31818181818181818</v>
      </c>
      <c r="H25" s="2"/>
      <c r="I25" s="6"/>
      <c r="J25" s="2"/>
      <c r="K25" s="6"/>
      <c r="L25" s="2"/>
      <c r="M25" s="6"/>
      <c r="N25" s="2"/>
      <c r="O25" s="6"/>
      <c r="P25" s="2"/>
      <c r="Q25" s="6"/>
      <c r="R25" s="2"/>
      <c r="S25" s="6"/>
      <c r="T25" s="2"/>
      <c r="U25" s="6"/>
      <c r="V25" s="2"/>
      <c r="W25" s="6"/>
      <c r="X25" s="2"/>
      <c r="Y25" s="6"/>
      <c r="Z25" s="2"/>
      <c r="AA25" s="6"/>
      <c r="AB25" s="2"/>
      <c r="AC25" s="6"/>
      <c r="AD25" s="2"/>
      <c r="AE25" s="6"/>
      <c r="AF25" s="2"/>
      <c r="AG25" s="6"/>
      <c r="AH25" s="2"/>
      <c r="AI25" s="6"/>
      <c r="AJ25" s="2">
        <v>16800</v>
      </c>
      <c r="AK25" s="6"/>
      <c r="AL25" s="2"/>
      <c r="AM25" s="6"/>
      <c r="AN25" s="2"/>
      <c r="AO25" s="6"/>
      <c r="AP25" s="2"/>
      <c r="AQ25" s="6"/>
      <c r="AR25" s="2"/>
      <c r="AS25" s="6"/>
      <c r="AT25" s="2"/>
      <c r="AU25" s="6"/>
      <c r="AV25" s="2"/>
      <c r="AW25" s="6"/>
      <c r="AX25" s="2"/>
      <c r="AY25" s="6"/>
      <c r="AZ25" s="2"/>
      <c r="BA25" s="6"/>
      <c r="BB25" s="2"/>
      <c r="BC25" s="6"/>
      <c r="BD25" s="2"/>
      <c r="BE25" s="6"/>
      <c r="BF25" s="2"/>
      <c r="BG25" s="6"/>
      <c r="BH25" s="2"/>
      <c r="BI25" s="6"/>
      <c r="BJ25" s="2"/>
      <c r="BK25" s="6"/>
      <c r="BL25" s="2"/>
      <c r="BM25" s="6"/>
      <c r="BN25" s="2"/>
      <c r="BO25" s="6"/>
      <c r="BP25" s="2"/>
      <c r="BQ25" s="6"/>
      <c r="BR25" s="2"/>
      <c r="BS25" s="6"/>
      <c r="BT25" s="2"/>
      <c r="BU25" s="6"/>
      <c r="BV25" s="2"/>
      <c r="BW25" s="6"/>
      <c r="BX25" s="2"/>
      <c r="BY25" s="6"/>
      <c r="BZ25" s="2"/>
      <c r="CA25" s="6"/>
      <c r="CB25" s="2"/>
      <c r="CC25" s="6"/>
      <c r="CD25" s="2"/>
      <c r="CE25" s="6"/>
      <c r="CF25" s="2"/>
      <c r="CG25" s="6"/>
      <c r="CH25" s="2"/>
      <c r="CI25" s="6"/>
      <c r="CJ25" s="2"/>
      <c r="CK25" s="6"/>
      <c r="CL25" s="2"/>
      <c r="CM25" s="6"/>
      <c r="CN25" s="2"/>
      <c r="CO25" s="6"/>
      <c r="CP25" s="2"/>
      <c r="CQ25" s="6"/>
      <c r="CR25" s="2"/>
      <c r="CS25" s="6"/>
      <c r="CT25" s="2"/>
      <c r="CU25" s="6"/>
      <c r="CV25" s="2"/>
      <c r="CW25" s="6"/>
      <c r="CX25" s="2"/>
      <c r="CY25" s="6"/>
      <c r="CZ25" s="2"/>
      <c r="DA25" s="6"/>
      <c r="DB25" s="2"/>
      <c r="DC25" s="6"/>
      <c r="DD25" s="2"/>
      <c r="DE25" s="6"/>
    </row>
    <row r="26" spans="1:109" ht="15" thickBot="1" x14ac:dyDescent="0.35">
      <c r="A26" s="3" t="s">
        <v>175</v>
      </c>
      <c r="B26" s="3" t="str">
        <f>_xlfn.XLOOKUP(A26,'Raw Material Requirement'!$A$4:$A$28,'Raw Material Requirement'!$B$4:$B$28)</f>
        <v>Mar</v>
      </c>
      <c r="C26" s="3">
        <f>_xlfn.XLOOKUP(A26,'Raw Material Requirement'!$A$4:$A$28,'Raw Material Requirement'!$N$4:$N$28)</f>
        <v>16800</v>
      </c>
      <c r="D26" s="2" cm="1">
        <f t="array" ref="D26">SUMPRODUCT((MOD(COLUMN($I26:$FN26)-COLUMN($I26),2)=0)*($I26:$FN26))</f>
        <v>0</v>
      </c>
      <c r="E26" s="7">
        <f t="shared" si="5"/>
        <v>16800</v>
      </c>
      <c r="F26" s="42">
        <f>'Mold Daily Output'!$F$12*2</f>
        <v>52800</v>
      </c>
      <c r="G26" s="44">
        <f t="shared" si="4"/>
        <v>0.31818181818181818</v>
      </c>
      <c r="H26" s="4"/>
      <c r="I26" s="7"/>
      <c r="J26" s="4"/>
      <c r="K26" s="7"/>
      <c r="L26" s="4"/>
      <c r="M26" s="7"/>
      <c r="N26" s="4"/>
      <c r="O26" s="7"/>
      <c r="P26" s="4"/>
      <c r="Q26" s="7"/>
      <c r="R26" s="4"/>
      <c r="S26" s="7"/>
      <c r="T26" s="4"/>
      <c r="U26" s="7"/>
      <c r="V26" s="4"/>
      <c r="W26" s="7"/>
      <c r="X26" s="4"/>
      <c r="Y26" s="7"/>
      <c r="Z26" s="4"/>
      <c r="AA26" s="7"/>
      <c r="AB26" s="4"/>
      <c r="AC26" s="7"/>
      <c r="AD26" s="4"/>
      <c r="AE26" s="7"/>
      <c r="AF26" s="4"/>
      <c r="AG26" s="7"/>
      <c r="AH26" s="4"/>
      <c r="AI26" s="7"/>
      <c r="AJ26" s="4">
        <v>16800</v>
      </c>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row>
    <row r="27" spans="1:109" ht="57.6" x14ac:dyDescent="0.3">
      <c r="G27" s="17" t="s">
        <v>551</v>
      </c>
      <c r="H27">
        <f>((SUM(H18:H26))*2.95)/1000</f>
        <v>155.76</v>
      </c>
      <c r="I27">
        <f t="shared" ref="I27:BN27" si="7">((SUM(I18:I26))*2.95)/1000</f>
        <v>0</v>
      </c>
      <c r="J27">
        <f t="shared" si="7"/>
        <v>155.76</v>
      </c>
      <c r="K27">
        <f t="shared" si="7"/>
        <v>0</v>
      </c>
      <c r="L27">
        <f t="shared" si="7"/>
        <v>155.76</v>
      </c>
      <c r="M27">
        <f t="shared" si="7"/>
        <v>0</v>
      </c>
      <c r="N27">
        <f t="shared" si="7"/>
        <v>155.76</v>
      </c>
      <c r="O27">
        <f t="shared" si="7"/>
        <v>0</v>
      </c>
      <c r="P27">
        <f t="shared" si="7"/>
        <v>155.76</v>
      </c>
      <c r="Q27">
        <f t="shared" si="7"/>
        <v>0</v>
      </c>
      <c r="R27">
        <f t="shared" si="7"/>
        <v>155.76</v>
      </c>
      <c r="S27">
        <f t="shared" si="7"/>
        <v>0</v>
      </c>
      <c r="T27">
        <f t="shared" si="7"/>
        <v>155.76</v>
      </c>
      <c r="U27">
        <f t="shared" si="7"/>
        <v>0</v>
      </c>
      <c r="V27">
        <f t="shared" si="7"/>
        <v>146.32</v>
      </c>
      <c r="W27">
        <f t="shared" si="7"/>
        <v>0</v>
      </c>
      <c r="X27">
        <f t="shared" si="7"/>
        <v>155.76</v>
      </c>
      <c r="Y27">
        <f t="shared" si="7"/>
        <v>0</v>
      </c>
      <c r="Z27">
        <f t="shared" si="7"/>
        <v>155.76</v>
      </c>
      <c r="AA27">
        <f t="shared" si="7"/>
        <v>0</v>
      </c>
      <c r="AB27">
        <f t="shared" si="7"/>
        <v>155.76</v>
      </c>
      <c r="AC27">
        <f t="shared" si="7"/>
        <v>0</v>
      </c>
      <c r="AD27">
        <f t="shared" si="7"/>
        <v>155.76</v>
      </c>
      <c r="AE27">
        <f t="shared" si="7"/>
        <v>0</v>
      </c>
      <c r="AF27">
        <f t="shared" si="7"/>
        <v>155.76</v>
      </c>
      <c r="AG27">
        <f t="shared" si="7"/>
        <v>0</v>
      </c>
      <c r="AH27">
        <f t="shared" si="7"/>
        <v>155.76</v>
      </c>
      <c r="AI27">
        <f t="shared" si="7"/>
        <v>0</v>
      </c>
      <c r="AJ27">
        <f t="shared" si="7"/>
        <v>108.56</v>
      </c>
      <c r="AK27">
        <f t="shared" si="7"/>
        <v>0</v>
      </c>
      <c r="AL27">
        <f t="shared" si="7"/>
        <v>155.76</v>
      </c>
      <c r="AM27">
        <f t="shared" si="7"/>
        <v>0</v>
      </c>
      <c r="AN27">
        <f t="shared" si="7"/>
        <v>155.76</v>
      </c>
      <c r="AO27">
        <f t="shared" si="7"/>
        <v>0</v>
      </c>
      <c r="AP27">
        <f t="shared" si="7"/>
        <v>155.76</v>
      </c>
      <c r="AQ27">
        <f t="shared" si="7"/>
        <v>0</v>
      </c>
      <c r="AR27">
        <f t="shared" si="7"/>
        <v>155.76</v>
      </c>
      <c r="AS27">
        <f t="shared" si="7"/>
        <v>0</v>
      </c>
      <c r="AT27">
        <f t="shared" si="7"/>
        <v>155.76</v>
      </c>
      <c r="AU27">
        <f t="shared" si="7"/>
        <v>0</v>
      </c>
      <c r="AV27">
        <f t="shared" si="7"/>
        <v>146.91</v>
      </c>
      <c r="AW27">
        <f t="shared" si="7"/>
        <v>0</v>
      </c>
      <c r="AX27">
        <f t="shared" si="7"/>
        <v>155.76</v>
      </c>
      <c r="AY27">
        <f t="shared" si="7"/>
        <v>0</v>
      </c>
      <c r="AZ27">
        <f t="shared" si="7"/>
        <v>155.76</v>
      </c>
      <c r="BA27">
        <f t="shared" si="7"/>
        <v>0</v>
      </c>
      <c r="BB27">
        <f t="shared" si="7"/>
        <v>150.44999999999999</v>
      </c>
      <c r="BC27">
        <f t="shared" si="7"/>
        <v>0</v>
      </c>
      <c r="BD27">
        <f t="shared" si="7"/>
        <v>155.76</v>
      </c>
      <c r="BE27">
        <f t="shared" si="7"/>
        <v>0</v>
      </c>
      <c r="BF27">
        <f t="shared" si="7"/>
        <v>141.6</v>
      </c>
      <c r="BG27">
        <f t="shared" si="7"/>
        <v>0</v>
      </c>
      <c r="BH27">
        <f t="shared" si="7"/>
        <v>155.76</v>
      </c>
      <c r="BI27">
        <f t="shared" si="7"/>
        <v>0</v>
      </c>
      <c r="BJ27">
        <f t="shared" si="7"/>
        <v>141.6</v>
      </c>
      <c r="BK27">
        <f t="shared" si="7"/>
        <v>0</v>
      </c>
      <c r="BL27">
        <f t="shared" si="7"/>
        <v>148.68</v>
      </c>
      <c r="BM27">
        <f t="shared" si="7"/>
        <v>0</v>
      </c>
      <c r="BN27">
        <f t="shared" si="7"/>
        <v>0</v>
      </c>
    </row>
    <row r="28" spans="1:109" x14ac:dyDescent="0.3">
      <c r="G28" t="s">
        <v>552</v>
      </c>
      <c r="H28">
        <f>SUM(H27,H13)</f>
        <v>344.72640000000001</v>
      </c>
      <c r="I28">
        <f t="shared" ref="I28:BN28" si="8">SUM(I27,I13)</f>
        <v>0</v>
      </c>
      <c r="J28">
        <f t="shared" si="8"/>
        <v>344.72640000000001</v>
      </c>
      <c r="K28">
        <f t="shared" si="8"/>
        <v>0</v>
      </c>
      <c r="L28">
        <f t="shared" si="8"/>
        <v>344.72640000000001</v>
      </c>
      <c r="M28">
        <f t="shared" si="8"/>
        <v>0</v>
      </c>
      <c r="N28">
        <f t="shared" si="8"/>
        <v>344.72640000000001</v>
      </c>
      <c r="O28">
        <f t="shared" si="8"/>
        <v>0</v>
      </c>
      <c r="P28">
        <f t="shared" si="8"/>
        <v>344.72640000000001</v>
      </c>
      <c r="Q28">
        <f t="shared" si="8"/>
        <v>0</v>
      </c>
      <c r="R28">
        <f t="shared" si="8"/>
        <v>344.72640000000001</v>
      </c>
      <c r="S28">
        <f t="shared" si="8"/>
        <v>0</v>
      </c>
      <c r="T28">
        <f t="shared" si="8"/>
        <v>344.72640000000001</v>
      </c>
      <c r="U28">
        <f t="shared" si="8"/>
        <v>0</v>
      </c>
      <c r="V28">
        <f t="shared" si="8"/>
        <v>335.28640000000001</v>
      </c>
      <c r="W28">
        <f t="shared" si="8"/>
        <v>0</v>
      </c>
      <c r="X28">
        <f t="shared" si="8"/>
        <v>344.72640000000001</v>
      </c>
      <c r="Y28">
        <f t="shared" si="8"/>
        <v>0</v>
      </c>
      <c r="Z28">
        <f t="shared" si="8"/>
        <v>319.86239999999998</v>
      </c>
      <c r="AA28">
        <f t="shared" si="8"/>
        <v>0</v>
      </c>
      <c r="AB28">
        <f t="shared" si="8"/>
        <v>344.72640000000001</v>
      </c>
      <c r="AC28">
        <f t="shared" si="8"/>
        <v>0</v>
      </c>
      <c r="AD28">
        <f t="shared" si="8"/>
        <v>344.72640000000001</v>
      </c>
      <c r="AE28">
        <f t="shared" si="8"/>
        <v>0</v>
      </c>
      <c r="AF28">
        <f t="shared" si="8"/>
        <v>344.72640000000001</v>
      </c>
      <c r="AG28">
        <f t="shared" si="8"/>
        <v>0</v>
      </c>
      <c r="AH28">
        <f t="shared" si="8"/>
        <v>344.72640000000001</v>
      </c>
      <c r="AI28">
        <f t="shared" si="8"/>
        <v>0</v>
      </c>
      <c r="AJ28">
        <f t="shared" si="8"/>
        <v>297.52640000000002</v>
      </c>
      <c r="AK28">
        <f t="shared" si="8"/>
        <v>0</v>
      </c>
      <c r="AL28">
        <f t="shared" si="8"/>
        <v>344.72640000000001</v>
      </c>
      <c r="AM28">
        <f t="shared" si="8"/>
        <v>0</v>
      </c>
      <c r="AN28">
        <f t="shared" si="8"/>
        <v>327.32159999999999</v>
      </c>
      <c r="AO28">
        <f t="shared" si="8"/>
        <v>0</v>
      </c>
      <c r="AP28">
        <f t="shared" si="8"/>
        <v>344.72640000000001</v>
      </c>
      <c r="AQ28">
        <f t="shared" si="8"/>
        <v>0</v>
      </c>
      <c r="AR28">
        <f t="shared" si="8"/>
        <v>344.72640000000001</v>
      </c>
      <c r="AS28">
        <f t="shared" si="8"/>
        <v>0</v>
      </c>
      <c r="AT28">
        <f t="shared" si="8"/>
        <v>344.72640000000001</v>
      </c>
      <c r="AU28">
        <f t="shared" si="8"/>
        <v>0</v>
      </c>
      <c r="AV28">
        <f t="shared" si="8"/>
        <v>335.87639999999999</v>
      </c>
      <c r="AW28">
        <f t="shared" si="8"/>
        <v>0</v>
      </c>
      <c r="AX28">
        <f t="shared" si="8"/>
        <v>318.97439999999995</v>
      </c>
      <c r="AY28">
        <f t="shared" si="8"/>
        <v>0</v>
      </c>
      <c r="AZ28">
        <f t="shared" si="8"/>
        <v>344.72640000000001</v>
      </c>
      <c r="BA28">
        <f t="shared" si="8"/>
        <v>0</v>
      </c>
      <c r="BB28">
        <f t="shared" si="8"/>
        <v>339.41640000000001</v>
      </c>
      <c r="BC28">
        <f t="shared" si="8"/>
        <v>0</v>
      </c>
      <c r="BD28">
        <f t="shared" si="8"/>
        <v>325.42719999999997</v>
      </c>
      <c r="BE28">
        <f t="shared" si="8"/>
        <v>0</v>
      </c>
      <c r="BF28">
        <f t="shared" si="8"/>
        <v>330.56640000000004</v>
      </c>
      <c r="BG28">
        <f t="shared" si="8"/>
        <v>0</v>
      </c>
      <c r="BH28">
        <f t="shared" si="8"/>
        <v>302.75360000000001</v>
      </c>
      <c r="BI28">
        <f t="shared" si="8"/>
        <v>0</v>
      </c>
      <c r="BJ28">
        <f t="shared" si="8"/>
        <v>330.56640000000004</v>
      </c>
      <c r="BK28">
        <f t="shared" si="8"/>
        <v>0</v>
      </c>
      <c r="BL28">
        <f t="shared" si="8"/>
        <v>332.67360000000002</v>
      </c>
      <c r="BM28">
        <f t="shared" si="8"/>
        <v>0</v>
      </c>
      <c r="BN28">
        <f t="shared" si="8"/>
        <v>186.48</v>
      </c>
    </row>
  </sheetData>
  <mergeCells count="204">
    <mergeCell ref="L1:M1"/>
    <mergeCell ref="N1:O1"/>
    <mergeCell ref="P1:Q1"/>
    <mergeCell ref="R1:S1"/>
    <mergeCell ref="BD1:BE1"/>
    <mergeCell ref="H2:I2"/>
    <mergeCell ref="J2:K2"/>
    <mergeCell ref="L2:M2"/>
    <mergeCell ref="N2:O2"/>
    <mergeCell ref="P2:Q2"/>
    <mergeCell ref="R2:S2"/>
    <mergeCell ref="T2:U2"/>
    <mergeCell ref="AJ2:AK2"/>
    <mergeCell ref="AL2:AM2"/>
    <mergeCell ref="AJ1:AK1"/>
    <mergeCell ref="AL1:AM1"/>
    <mergeCell ref="AN1:AO1"/>
    <mergeCell ref="AP1:AQ1"/>
    <mergeCell ref="T1:U1"/>
    <mergeCell ref="V1:W1"/>
    <mergeCell ref="X1:Y1"/>
    <mergeCell ref="Z1:AA1"/>
    <mergeCell ref="AB1:AC1"/>
    <mergeCell ref="AD1:AE1"/>
    <mergeCell ref="AN2:AO2"/>
    <mergeCell ref="AP2:AQ2"/>
    <mergeCell ref="H1:I1"/>
    <mergeCell ref="J1:K1"/>
    <mergeCell ref="BF1:BG1"/>
    <mergeCell ref="BH1:BI1"/>
    <mergeCell ref="V2:W2"/>
    <mergeCell ref="X2:Y2"/>
    <mergeCell ref="Z2:AA2"/>
    <mergeCell ref="AB2:AC2"/>
    <mergeCell ref="AD2:AE2"/>
    <mergeCell ref="AF2:AG2"/>
    <mergeCell ref="AR1:AS1"/>
    <mergeCell ref="AT1:AU1"/>
    <mergeCell ref="AV1:AW1"/>
    <mergeCell ref="AX1:AY1"/>
    <mergeCell ref="AZ1:BA1"/>
    <mergeCell ref="BB1:BC1"/>
    <mergeCell ref="AF1:AG1"/>
    <mergeCell ref="AH1:AI1"/>
    <mergeCell ref="AT2:AU2"/>
    <mergeCell ref="AV2:AW2"/>
    <mergeCell ref="AX2:AY2"/>
    <mergeCell ref="AZ2:BA2"/>
    <mergeCell ref="BB2:BC2"/>
    <mergeCell ref="BD2:BE2"/>
    <mergeCell ref="AH2:AI2"/>
    <mergeCell ref="AR2:AS2"/>
    <mergeCell ref="CZ1:DA1"/>
    <mergeCell ref="DB1:DC1"/>
    <mergeCell ref="DD1:DE1"/>
    <mergeCell ref="CR1:CS1"/>
    <mergeCell ref="CT1:CU1"/>
    <mergeCell ref="CV1:CW1"/>
    <mergeCell ref="CX1:CY1"/>
    <mergeCell ref="BJ1:BK1"/>
    <mergeCell ref="BL1:BM1"/>
    <mergeCell ref="BN1:BO1"/>
    <mergeCell ref="CN1:CO1"/>
    <mergeCell ref="CP1:CQ1"/>
    <mergeCell ref="CB1:CC1"/>
    <mergeCell ref="CD1:CE1"/>
    <mergeCell ref="CF1:CG1"/>
    <mergeCell ref="CH1:CI1"/>
    <mergeCell ref="CJ1:CK1"/>
    <mergeCell ref="CL1:CM1"/>
    <mergeCell ref="BP1:BQ1"/>
    <mergeCell ref="BR1:BS1"/>
    <mergeCell ref="BT1:BU1"/>
    <mergeCell ref="BV1:BW1"/>
    <mergeCell ref="BX1:BY1"/>
    <mergeCell ref="BZ1:CA1"/>
    <mergeCell ref="BV2:BW2"/>
    <mergeCell ref="BX2:BY2"/>
    <mergeCell ref="BZ2:CA2"/>
    <mergeCell ref="CB2:CC2"/>
    <mergeCell ref="BF2:BG2"/>
    <mergeCell ref="BH2:BI2"/>
    <mergeCell ref="BJ2:BK2"/>
    <mergeCell ref="BL2:BM2"/>
    <mergeCell ref="BN2:BO2"/>
    <mergeCell ref="BP2:BQ2"/>
    <mergeCell ref="DB2:DC2"/>
    <mergeCell ref="DD2:DE2"/>
    <mergeCell ref="H15:I15"/>
    <mergeCell ref="J15:K15"/>
    <mergeCell ref="L15:M15"/>
    <mergeCell ref="N15:O15"/>
    <mergeCell ref="P15:Q15"/>
    <mergeCell ref="R15:S15"/>
    <mergeCell ref="T15:U15"/>
    <mergeCell ref="V15:W15"/>
    <mergeCell ref="CP2:CQ2"/>
    <mergeCell ref="CR2:CS2"/>
    <mergeCell ref="CT2:CU2"/>
    <mergeCell ref="CV2:CW2"/>
    <mergeCell ref="CX2:CY2"/>
    <mergeCell ref="CZ2:DA2"/>
    <mergeCell ref="CD2:CE2"/>
    <mergeCell ref="CF2:CG2"/>
    <mergeCell ref="CH2:CI2"/>
    <mergeCell ref="CJ2:CK2"/>
    <mergeCell ref="CL2:CM2"/>
    <mergeCell ref="CN2:CO2"/>
    <mergeCell ref="BR2:BS2"/>
    <mergeCell ref="BT2:BU2"/>
    <mergeCell ref="AJ15:AK15"/>
    <mergeCell ref="AL15:AM15"/>
    <mergeCell ref="AN15:AO15"/>
    <mergeCell ref="AP15:AQ15"/>
    <mergeCell ref="AR15:AS15"/>
    <mergeCell ref="AT15:AU15"/>
    <mergeCell ref="X15:Y15"/>
    <mergeCell ref="Z15:AA15"/>
    <mergeCell ref="AB15:AC15"/>
    <mergeCell ref="AD15:AE15"/>
    <mergeCell ref="AF15:AG15"/>
    <mergeCell ref="AH15:AI15"/>
    <mergeCell ref="BH15:BI15"/>
    <mergeCell ref="BJ15:BK15"/>
    <mergeCell ref="BL15:BM15"/>
    <mergeCell ref="BN15:BO15"/>
    <mergeCell ref="BP15:BQ15"/>
    <mergeCell ref="BR15:BS15"/>
    <mergeCell ref="AV15:AW15"/>
    <mergeCell ref="AX15:AY15"/>
    <mergeCell ref="AZ15:BA15"/>
    <mergeCell ref="BB15:BC15"/>
    <mergeCell ref="BD15:BE15"/>
    <mergeCell ref="BF15:BG15"/>
    <mergeCell ref="CJ15:CK15"/>
    <mergeCell ref="CL15:CM15"/>
    <mergeCell ref="CN15:CO15"/>
    <mergeCell ref="CP15:CQ15"/>
    <mergeCell ref="BT15:BU15"/>
    <mergeCell ref="BV15:BW15"/>
    <mergeCell ref="BX15:BY15"/>
    <mergeCell ref="BZ15:CA15"/>
    <mergeCell ref="CB15:CC15"/>
    <mergeCell ref="CD15:CE15"/>
    <mergeCell ref="Z16:AA16"/>
    <mergeCell ref="AB16:AC16"/>
    <mergeCell ref="AD16:AE16"/>
    <mergeCell ref="AF16:AG16"/>
    <mergeCell ref="AH16:AI16"/>
    <mergeCell ref="AJ16:AK16"/>
    <mergeCell ref="DD15:DE15"/>
    <mergeCell ref="H16:I16"/>
    <mergeCell ref="J16:K16"/>
    <mergeCell ref="L16:M16"/>
    <mergeCell ref="N16:O16"/>
    <mergeCell ref="P16:Q16"/>
    <mergeCell ref="R16:S16"/>
    <mergeCell ref="T16:U16"/>
    <mergeCell ref="V16:W16"/>
    <mergeCell ref="X16:Y16"/>
    <mergeCell ref="CR15:CS15"/>
    <mergeCell ref="CT15:CU15"/>
    <mergeCell ref="CV15:CW15"/>
    <mergeCell ref="CX15:CY15"/>
    <mergeCell ref="CZ15:DA15"/>
    <mergeCell ref="DB15:DC15"/>
    <mergeCell ref="CF15:CG15"/>
    <mergeCell ref="CH15:CI15"/>
    <mergeCell ref="AX16:AY16"/>
    <mergeCell ref="AZ16:BA16"/>
    <mergeCell ref="BB16:BC16"/>
    <mergeCell ref="BD16:BE16"/>
    <mergeCell ref="BF16:BG16"/>
    <mergeCell ref="BH16:BI16"/>
    <mergeCell ref="AL16:AM16"/>
    <mergeCell ref="AN16:AO16"/>
    <mergeCell ref="AP16:AQ16"/>
    <mergeCell ref="AR16:AS16"/>
    <mergeCell ref="AT16:AU16"/>
    <mergeCell ref="AV16:AW16"/>
    <mergeCell ref="BV16:BW16"/>
    <mergeCell ref="BX16:BY16"/>
    <mergeCell ref="BZ16:CA16"/>
    <mergeCell ref="CB16:CC16"/>
    <mergeCell ref="CD16:CE16"/>
    <mergeCell ref="CF16:CG16"/>
    <mergeCell ref="BJ16:BK16"/>
    <mergeCell ref="BL16:BM16"/>
    <mergeCell ref="BN16:BO16"/>
    <mergeCell ref="BP16:BQ16"/>
    <mergeCell ref="BR16:BS16"/>
    <mergeCell ref="BT16:BU16"/>
    <mergeCell ref="CT16:CU16"/>
    <mergeCell ref="CV16:CW16"/>
    <mergeCell ref="CX16:CY16"/>
    <mergeCell ref="CZ16:DA16"/>
    <mergeCell ref="DB16:DC16"/>
    <mergeCell ref="DD16:DE16"/>
    <mergeCell ref="CH16:CI16"/>
    <mergeCell ref="CJ16:CK16"/>
    <mergeCell ref="CL16:CM16"/>
    <mergeCell ref="CN16:CO16"/>
    <mergeCell ref="CP16:CQ16"/>
    <mergeCell ref="CR16:CS16"/>
  </mergeCells>
  <conditionalFormatting sqref="H2:DE2">
    <cfRule type="expression" dxfId="25" priority="4">
      <formula>SUM(H$4:H$12)&gt;$F$4</formula>
    </cfRule>
  </conditionalFormatting>
  <conditionalFormatting sqref="H16:DE16">
    <cfRule type="expression" dxfId="24" priority="3">
      <formula>SUM(H$18:H$26)&gt;$F$18</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2F98D-8126-4235-AF3E-481067E3D8CA}">
  <dimension ref="A1:DK26"/>
  <sheetViews>
    <sheetView workbookViewId="0">
      <selection activeCell="H5" sqref="H5"/>
    </sheetView>
  </sheetViews>
  <sheetFormatPr defaultRowHeight="14.4" x14ac:dyDescent="0.3"/>
  <cols>
    <col min="1" max="1" width="13.21875" bestFit="1" customWidth="1"/>
    <col min="2" max="2" width="29.44140625" bestFit="1" customWidth="1"/>
    <col min="3" max="3" width="13.5546875" bestFit="1" customWidth="1"/>
    <col min="4" max="4" width="11.6640625" bestFit="1" customWidth="1"/>
    <col min="5" max="5" width="6.77734375" bestFit="1" customWidth="1"/>
    <col min="6" max="6" width="8.109375" bestFit="1" customWidth="1"/>
    <col min="7" max="7" width="7.44140625" bestFit="1" customWidth="1"/>
    <col min="8" max="8" width="7.77734375" bestFit="1" customWidth="1"/>
    <col min="9" max="10" width="8.33203125" bestFit="1" customWidth="1"/>
    <col min="13" max="13" width="8.5546875" bestFit="1" customWidth="1"/>
    <col min="14" max="14" width="7.5546875" bestFit="1" customWidth="1"/>
    <col min="15" max="15" width="6" bestFit="1" customWidth="1"/>
    <col min="16" max="16" width="7.5546875" bestFit="1" customWidth="1"/>
    <col min="17" max="17" width="6" bestFit="1" customWidth="1"/>
    <col min="18" max="18" width="7.5546875" bestFit="1" customWidth="1"/>
    <col min="19" max="19" width="6" bestFit="1" customWidth="1"/>
    <col min="20" max="20" width="7.5546875" bestFit="1" customWidth="1"/>
    <col min="21" max="21" width="6" bestFit="1" customWidth="1"/>
    <col min="22" max="22" width="7.5546875" bestFit="1" customWidth="1"/>
    <col min="23" max="23" width="6" bestFit="1" customWidth="1"/>
    <col min="24" max="24" width="7.5546875" bestFit="1" customWidth="1"/>
    <col min="25" max="25" width="6" bestFit="1" customWidth="1"/>
    <col min="26" max="26" width="7.5546875" bestFit="1" customWidth="1"/>
    <col min="27" max="27" width="6" bestFit="1" customWidth="1"/>
    <col min="28" max="28" width="7.5546875" bestFit="1" customWidth="1"/>
    <col min="29" max="29" width="6" bestFit="1" customWidth="1"/>
    <col min="30" max="30" width="7.5546875" bestFit="1" customWidth="1"/>
    <col min="31" max="31" width="6" bestFit="1" customWidth="1"/>
    <col min="32" max="32" width="7.5546875" bestFit="1" customWidth="1"/>
    <col min="33" max="33" width="6" bestFit="1" customWidth="1"/>
    <col min="34" max="34" width="7.5546875" bestFit="1" customWidth="1"/>
    <col min="35" max="35" width="6" bestFit="1" customWidth="1"/>
    <col min="36" max="36" width="7.5546875" bestFit="1" customWidth="1"/>
    <col min="37" max="37" width="6" bestFit="1" customWidth="1"/>
    <col min="38" max="38" width="7.5546875" bestFit="1" customWidth="1"/>
    <col min="39" max="39" width="6" bestFit="1" customWidth="1"/>
    <col min="40" max="40" width="7.5546875" bestFit="1" customWidth="1"/>
    <col min="41" max="41" width="6" bestFit="1" customWidth="1"/>
    <col min="42" max="42" width="7.5546875" bestFit="1" customWidth="1"/>
    <col min="43" max="43" width="6" bestFit="1" customWidth="1"/>
    <col min="44" max="44" width="7.5546875" bestFit="1" customWidth="1"/>
    <col min="45" max="45" width="6" bestFit="1" customWidth="1"/>
    <col min="46" max="46" width="7.5546875" bestFit="1" customWidth="1"/>
    <col min="47" max="47" width="6" bestFit="1" customWidth="1"/>
    <col min="48" max="48" width="7.5546875" bestFit="1" customWidth="1"/>
    <col min="49" max="49" width="6" bestFit="1" customWidth="1"/>
    <col min="50" max="50" width="7.5546875" bestFit="1" customWidth="1"/>
    <col min="51" max="51" width="6" bestFit="1" customWidth="1"/>
    <col min="52" max="52" width="7.5546875" bestFit="1" customWidth="1"/>
    <col min="53" max="53" width="6" bestFit="1" customWidth="1"/>
    <col min="54" max="54" width="7.5546875" bestFit="1" customWidth="1"/>
    <col min="55" max="55" width="6" bestFit="1" customWidth="1"/>
    <col min="56" max="56" width="7.5546875" bestFit="1" customWidth="1"/>
    <col min="57" max="57" width="6" bestFit="1" customWidth="1"/>
    <col min="58" max="58" width="7.5546875" bestFit="1" customWidth="1"/>
    <col min="59" max="59" width="6" bestFit="1" customWidth="1"/>
    <col min="60" max="60" width="7.5546875" bestFit="1" customWidth="1"/>
    <col min="61" max="61" width="6" bestFit="1" customWidth="1"/>
    <col min="62" max="62" width="7.5546875" bestFit="1" customWidth="1"/>
    <col min="63" max="63" width="6" bestFit="1" customWidth="1"/>
    <col min="64" max="64" width="7.5546875" bestFit="1" customWidth="1"/>
    <col min="65" max="65" width="6" bestFit="1" customWidth="1"/>
    <col min="66" max="66" width="7.5546875" bestFit="1" customWidth="1"/>
    <col min="67" max="67" width="6" bestFit="1" customWidth="1"/>
    <col min="68" max="68" width="7.5546875" bestFit="1" customWidth="1"/>
    <col min="69" max="69" width="6" bestFit="1" customWidth="1"/>
    <col min="70" max="70" width="7.5546875" bestFit="1" customWidth="1"/>
    <col min="71" max="71" width="6" bestFit="1" customWidth="1"/>
    <col min="72" max="72" width="7.5546875" bestFit="1" customWidth="1"/>
    <col min="73" max="73" width="6" bestFit="1" customWidth="1"/>
    <col min="74" max="74" width="7.5546875" bestFit="1" customWidth="1"/>
    <col min="75" max="75" width="6" bestFit="1" customWidth="1"/>
    <col min="76" max="76" width="7.5546875" bestFit="1" customWidth="1"/>
    <col min="77" max="77" width="6" bestFit="1" customWidth="1"/>
    <col min="78" max="78" width="7.5546875" bestFit="1" customWidth="1"/>
    <col min="79" max="79" width="6" bestFit="1" customWidth="1"/>
    <col min="80" max="80" width="7.5546875" bestFit="1" customWidth="1"/>
    <col min="81" max="81" width="6" bestFit="1" customWidth="1"/>
    <col min="82" max="82" width="7.5546875" bestFit="1" customWidth="1"/>
    <col min="83" max="83" width="6" bestFit="1" customWidth="1"/>
    <col min="84" max="84" width="7.5546875" bestFit="1" customWidth="1"/>
    <col min="85" max="85" width="6" bestFit="1" customWidth="1"/>
    <col min="86" max="86" width="7.5546875" bestFit="1" customWidth="1"/>
    <col min="87" max="87" width="6" bestFit="1" customWidth="1"/>
    <col min="88" max="88" width="7.5546875" bestFit="1" customWidth="1"/>
    <col min="89" max="89" width="6" bestFit="1" customWidth="1"/>
    <col min="90" max="90" width="7.5546875" bestFit="1" customWidth="1"/>
    <col min="91" max="91" width="6" bestFit="1" customWidth="1"/>
    <col min="92" max="92" width="7.5546875" bestFit="1" customWidth="1"/>
    <col min="93" max="93" width="6" bestFit="1" customWidth="1"/>
    <col min="94" max="94" width="7.5546875" bestFit="1" customWidth="1"/>
    <col min="95" max="95" width="6" bestFit="1" customWidth="1"/>
    <col min="96" max="96" width="7.5546875" bestFit="1" customWidth="1"/>
    <col min="97" max="97" width="6" bestFit="1" customWidth="1"/>
    <col min="98" max="98" width="7.5546875" bestFit="1" customWidth="1"/>
    <col min="99" max="99" width="6" bestFit="1" customWidth="1"/>
    <col min="100" max="100" width="7.5546875" bestFit="1" customWidth="1"/>
    <col min="101" max="101" width="6" bestFit="1" customWidth="1"/>
    <col min="102" max="102" width="7.5546875" bestFit="1" customWidth="1"/>
    <col min="103" max="103" width="6" bestFit="1" customWidth="1"/>
    <col min="104" max="104" width="7.5546875" bestFit="1" customWidth="1"/>
    <col min="105" max="105" width="6" bestFit="1" customWidth="1"/>
    <col min="106" max="106" width="7.5546875" bestFit="1" customWidth="1"/>
    <col min="107" max="107" width="6" bestFit="1" customWidth="1"/>
    <col min="108" max="108" width="7.5546875" bestFit="1" customWidth="1"/>
    <col min="109" max="109" width="6" bestFit="1" customWidth="1"/>
    <col min="110" max="110" width="7.5546875" bestFit="1" customWidth="1"/>
    <col min="111" max="111" width="6" bestFit="1" customWidth="1"/>
    <col min="112" max="112" width="7.5546875" bestFit="1" customWidth="1"/>
    <col min="113" max="113" width="6" bestFit="1" customWidth="1"/>
    <col min="114" max="114" width="7.5546875" bestFit="1" customWidth="1"/>
    <col min="115" max="115" width="6" bestFit="1" customWidth="1"/>
  </cols>
  <sheetData>
    <row r="1" spans="1:115" x14ac:dyDescent="0.3">
      <c r="A1" s="33" t="s">
        <v>418</v>
      </c>
      <c r="B1" s="34" t="s">
        <v>6</v>
      </c>
      <c r="C1" s="47"/>
      <c r="D1" s="47"/>
      <c r="E1" s="48"/>
      <c r="F1" s="49"/>
      <c r="G1" s="49"/>
      <c r="H1" s="49"/>
      <c r="I1" s="50"/>
      <c r="J1" s="50"/>
      <c r="K1" s="50"/>
      <c r="L1" s="50"/>
      <c r="M1" s="34"/>
      <c r="N1" s="106" t="s">
        <v>427</v>
      </c>
      <c r="O1" s="108"/>
      <c r="P1" s="106" t="s">
        <v>428</v>
      </c>
      <c r="Q1" s="108"/>
      <c r="R1" s="106" t="s">
        <v>429</v>
      </c>
      <c r="S1" s="116"/>
      <c r="T1" s="106" t="s">
        <v>430</v>
      </c>
      <c r="U1" s="108"/>
      <c r="V1" s="106" t="s">
        <v>431</v>
      </c>
      <c r="W1" s="116"/>
      <c r="X1" s="106" t="s">
        <v>432</v>
      </c>
      <c r="Y1" s="108"/>
      <c r="Z1" s="106" t="s">
        <v>433</v>
      </c>
      <c r="AA1" s="116"/>
      <c r="AB1" s="106" t="s">
        <v>434</v>
      </c>
      <c r="AC1" s="108"/>
      <c r="AD1" s="106" t="s">
        <v>435</v>
      </c>
      <c r="AE1" s="116"/>
      <c r="AF1" s="106" t="s">
        <v>436</v>
      </c>
      <c r="AG1" s="108"/>
      <c r="AH1" s="106" t="s">
        <v>437</v>
      </c>
      <c r="AI1" s="116"/>
      <c r="AJ1" s="106" t="s">
        <v>438</v>
      </c>
      <c r="AK1" s="108"/>
      <c r="AL1" s="106" t="s">
        <v>439</v>
      </c>
      <c r="AM1" s="116"/>
      <c r="AN1" s="106" t="s">
        <v>440</v>
      </c>
      <c r="AO1" s="108"/>
      <c r="AP1" s="106" t="s">
        <v>441</v>
      </c>
      <c r="AQ1" s="116"/>
      <c r="AR1" s="106" t="s">
        <v>442</v>
      </c>
      <c r="AS1" s="108"/>
      <c r="AT1" s="106" t="s">
        <v>443</v>
      </c>
      <c r="AU1" s="116"/>
      <c r="AV1" s="106" t="s">
        <v>444</v>
      </c>
      <c r="AW1" s="108"/>
      <c r="AX1" s="106" t="s">
        <v>445</v>
      </c>
      <c r="AY1" s="116"/>
      <c r="AZ1" s="106" t="s">
        <v>446</v>
      </c>
      <c r="BA1" s="108"/>
      <c r="BB1" s="106" t="s">
        <v>447</v>
      </c>
      <c r="BC1" s="116"/>
      <c r="BD1" s="106" t="s">
        <v>448</v>
      </c>
      <c r="BE1" s="108"/>
      <c r="BF1" s="106" t="s">
        <v>449</v>
      </c>
      <c r="BG1" s="116"/>
      <c r="BH1" s="106" t="s">
        <v>450</v>
      </c>
      <c r="BI1" s="108"/>
      <c r="BJ1" s="106" t="s">
        <v>451</v>
      </c>
      <c r="BK1" s="116"/>
      <c r="BL1" s="106" t="s">
        <v>452</v>
      </c>
      <c r="BM1" s="108"/>
      <c r="BN1" s="106" t="s">
        <v>453</v>
      </c>
      <c r="BO1" s="116"/>
      <c r="BP1" s="106" t="s">
        <v>454</v>
      </c>
      <c r="BQ1" s="108"/>
      <c r="BR1" s="106" t="s">
        <v>455</v>
      </c>
      <c r="BS1" s="116"/>
      <c r="BT1" s="106" t="s">
        <v>456</v>
      </c>
      <c r="BU1" s="108"/>
      <c r="BV1" s="106" t="s">
        <v>457</v>
      </c>
      <c r="BW1" s="116"/>
      <c r="BX1" s="106" t="s">
        <v>458</v>
      </c>
      <c r="BY1" s="108"/>
      <c r="BZ1" s="106" t="s">
        <v>459</v>
      </c>
      <c r="CA1" s="116"/>
      <c r="CB1" s="106" t="s">
        <v>460</v>
      </c>
      <c r="CC1" s="108"/>
      <c r="CD1" s="106" t="s">
        <v>461</v>
      </c>
      <c r="CE1" s="116"/>
      <c r="CF1" s="106" t="s">
        <v>462</v>
      </c>
      <c r="CG1" s="108"/>
      <c r="CH1" s="106" t="s">
        <v>463</v>
      </c>
      <c r="CI1" s="116"/>
      <c r="CJ1" s="106" t="s">
        <v>464</v>
      </c>
      <c r="CK1" s="108"/>
      <c r="CL1" s="106" t="s">
        <v>465</v>
      </c>
      <c r="CM1" s="116"/>
      <c r="CN1" s="106" t="s">
        <v>466</v>
      </c>
      <c r="CO1" s="108"/>
      <c r="CP1" s="106" t="s">
        <v>467</v>
      </c>
      <c r="CQ1" s="116"/>
      <c r="CR1" s="106" t="s">
        <v>468</v>
      </c>
      <c r="CS1" s="108"/>
      <c r="CT1" s="106" t="s">
        <v>469</v>
      </c>
      <c r="CU1" s="116"/>
      <c r="CV1" s="106" t="s">
        <v>470</v>
      </c>
      <c r="CW1" s="108"/>
      <c r="CX1" s="106" t="s">
        <v>471</v>
      </c>
      <c r="CY1" s="116"/>
      <c r="CZ1" s="106" t="s">
        <v>472</v>
      </c>
      <c r="DA1" s="108"/>
      <c r="DB1" s="106" t="s">
        <v>473</v>
      </c>
      <c r="DC1" s="116"/>
      <c r="DD1" s="106" t="s">
        <v>474</v>
      </c>
      <c r="DE1" s="108"/>
      <c r="DF1" s="106" t="s">
        <v>475</v>
      </c>
      <c r="DG1" s="116"/>
      <c r="DH1" s="106" t="s">
        <v>476</v>
      </c>
      <c r="DI1" s="108"/>
      <c r="DJ1" s="106" t="s">
        <v>477</v>
      </c>
      <c r="DK1" s="108"/>
    </row>
    <row r="2" spans="1:115" ht="15" thickBot="1" x14ac:dyDescent="0.35">
      <c r="A2" s="35"/>
      <c r="B2" s="36"/>
      <c r="C2" s="46"/>
      <c r="D2" s="46"/>
      <c r="E2" s="37"/>
      <c r="F2" s="5"/>
      <c r="G2" s="5"/>
      <c r="H2" s="41"/>
      <c r="I2" s="11"/>
      <c r="J2" s="11"/>
      <c r="K2" s="11"/>
      <c r="L2" s="11"/>
      <c r="M2" s="7"/>
      <c r="N2" s="115">
        <v>45967</v>
      </c>
      <c r="O2" s="111"/>
      <c r="P2" s="119">
        <f>WORKDAY.INTL(N2,1,"0000001")</f>
        <v>45968</v>
      </c>
      <c r="Q2" s="120"/>
      <c r="R2" s="119">
        <f t="shared" ref="R2" si="0">WORKDAY.INTL(P2,1,"0000001")</f>
        <v>45969</v>
      </c>
      <c r="S2" s="120"/>
      <c r="T2" s="119">
        <f t="shared" ref="T2" si="1">WORKDAY.INTL(R2,1,"0000001")</f>
        <v>45971</v>
      </c>
      <c r="U2" s="120"/>
      <c r="V2" s="119">
        <f t="shared" ref="V2" si="2">WORKDAY.INTL(T2,1,"0000001")</f>
        <v>45972</v>
      </c>
      <c r="W2" s="120"/>
      <c r="X2" s="119">
        <f t="shared" ref="X2" si="3">WORKDAY.INTL(V2,1,"0000001")</f>
        <v>45973</v>
      </c>
      <c r="Y2" s="120"/>
      <c r="Z2" s="119">
        <f t="shared" ref="Z2" si="4">WORKDAY.INTL(X2,1,"0000001")</f>
        <v>45974</v>
      </c>
      <c r="AA2" s="120"/>
      <c r="AB2" s="119">
        <f t="shared" ref="AB2" si="5">WORKDAY.INTL(Z2,1,"0000001")</f>
        <v>45975</v>
      </c>
      <c r="AC2" s="120"/>
      <c r="AD2" s="119">
        <f t="shared" ref="AD2" si="6">WORKDAY.INTL(AB2,1,"0000001")</f>
        <v>45976</v>
      </c>
      <c r="AE2" s="120"/>
      <c r="AF2" s="119">
        <f t="shared" ref="AF2" si="7">WORKDAY.INTL(AD2,1,"0000001")</f>
        <v>45978</v>
      </c>
      <c r="AG2" s="120"/>
      <c r="AH2" s="119">
        <f t="shared" ref="AH2" si="8">WORKDAY.INTL(AF2,1,"0000001")</f>
        <v>45979</v>
      </c>
      <c r="AI2" s="120"/>
      <c r="AJ2" s="119">
        <f t="shared" ref="AJ2" si="9">WORKDAY.INTL(AH2,1,"0000001")</f>
        <v>45980</v>
      </c>
      <c r="AK2" s="120"/>
      <c r="AL2" s="119">
        <f t="shared" ref="AL2" si="10">WORKDAY.INTL(AJ2,1,"0000001")</f>
        <v>45981</v>
      </c>
      <c r="AM2" s="120"/>
      <c r="AN2" s="119">
        <f t="shared" ref="AN2" si="11">WORKDAY.INTL(AL2,1,"0000001")</f>
        <v>45982</v>
      </c>
      <c r="AO2" s="120"/>
      <c r="AP2" s="119">
        <f t="shared" ref="AP2" si="12">WORKDAY.INTL(AN2,1,"0000001")</f>
        <v>45983</v>
      </c>
      <c r="AQ2" s="120"/>
      <c r="AR2" s="119">
        <f t="shared" ref="AR2" si="13">WORKDAY.INTL(AP2,1,"0000001")</f>
        <v>45985</v>
      </c>
      <c r="AS2" s="120"/>
      <c r="AT2" s="119">
        <f t="shared" ref="AT2" si="14">WORKDAY.INTL(AR2,1,"0000001")</f>
        <v>45986</v>
      </c>
      <c r="AU2" s="120"/>
      <c r="AV2" s="119">
        <f t="shared" ref="AV2" si="15">WORKDAY.INTL(AT2,1,"0000001")</f>
        <v>45987</v>
      </c>
      <c r="AW2" s="120"/>
      <c r="AX2" s="119">
        <f t="shared" ref="AX2" si="16">WORKDAY.INTL(AV2,1,"0000001")</f>
        <v>45988</v>
      </c>
      <c r="AY2" s="120"/>
      <c r="AZ2" s="119">
        <f t="shared" ref="AZ2" si="17">WORKDAY.INTL(AX2,1,"0000001")</f>
        <v>45989</v>
      </c>
      <c r="BA2" s="120"/>
      <c r="BB2" s="119">
        <f t="shared" ref="BB2" si="18">WORKDAY.INTL(AZ2,1,"0000001")</f>
        <v>45990</v>
      </c>
      <c r="BC2" s="120"/>
      <c r="BD2" s="119">
        <f t="shared" ref="BD2" si="19">WORKDAY.INTL(BB2,1,"0000001")</f>
        <v>45992</v>
      </c>
      <c r="BE2" s="120"/>
      <c r="BF2" s="119">
        <f t="shared" ref="BF2" si="20">WORKDAY.INTL(BD2,1,"0000001")</f>
        <v>45993</v>
      </c>
      <c r="BG2" s="120"/>
      <c r="BH2" s="119">
        <f t="shared" ref="BH2" si="21">WORKDAY.INTL(BF2,1,"0000001")</f>
        <v>45994</v>
      </c>
      <c r="BI2" s="120"/>
      <c r="BJ2" s="119">
        <f t="shared" ref="BJ2" si="22">WORKDAY.INTL(BH2,1,"0000001")</f>
        <v>45995</v>
      </c>
      <c r="BK2" s="120"/>
      <c r="BL2" s="119">
        <f t="shared" ref="BL2" si="23">WORKDAY.INTL(BJ2,1,"0000001")</f>
        <v>45996</v>
      </c>
      <c r="BM2" s="120"/>
      <c r="BN2" s="119">
        <f t="shared" ref="BN2" si="24">WORKDAY.INTL(BL2,1,"0000001")</f>
        <v>45997</v>
      </c>
      <c r="BO2" s="120"/>
      <c r="BP2" s="119">
        <f t="shared" ref="BP2" si="25">WORKDAY.INTL(BN2,1,"0000001")</f>
        <v>45999</v>
      </c>
      <c r="BQ2" s="120"/>
      <c r="BR2" s="119">
        <f t="shared" ref="BR2" si="26">WORKDAY.INTL(BP2,1,"0000001")</f>
        <v>46000</v>
      </c>
      <c r="BS2" s="120"/>
      <c r="BT2" s="119">
        <f t="shared" ref="BT2" si="27">WORKDAY.INTL(BR2,1,"0000001")</f>
        <v>46001</v>
      </c>
      <c r="BU2" s="120"/>
      <c r="BV2" s="119">
        <f t="shared" ref="BV2" si="28">WORKDAY.INTL(BT2,1,"0000001")</f>
        <v>46002</v>
      </c>
      <c r="BW2" s="120"/>
      <c r="BX2" s="119">
        <f t="shared" ref="BX2" si="29">WORKDAY.INTL(BV2,1,"0000001")</f>
        <v>46003</v>
      </c>
      <c r="BY2" s="120"/>
      <c r="BZ2" s="119">
        <f t="shared" ref="BZ2" si="30">WORKDAY.INTL(BX2,1,"0000001")</f>
        <v>46004</v>
      </c>
      <c r="CA2" s="120"/>
      <c r="CB2" s="119">
        <f t="shared" ref="CB2" si="31">WORKDAY.INTL(BZ2,1,"0000001")</f>
        <v>46006</v>
      </c>
      <c r="CC2" s="120"/>
      <c r="CD2" s="119">
        <f t="shared" ref="CD2" si="32">WORKDAY.INTL(CB2,1,"0000001")</f>
        <v>46007</v>
      </c>
      <c r="CE2" s="120"/>
      <c r="CF2" s="119">
        <f t="shared" ref="CF2" si="33">WORKDAY.INTL(CD2,1,"0000001")</f>
        <v>46008</v>
      </c>
      <c r="CG2" s="120"/>
      <c r="CH2" s="119">
        <f t="shared" ref="CH2" si="34">WORKDAY.INTL(CF2,1,"0000001")</f>
        <v>46009</v>
      </c>
      <c r="CI2" s="120"/>
      <c r="CJ2" s="119">
        <f t="shared" ref="CJ2" si="35">WORKDAY.INTL(CH2,1,"0000001")</f>
        <v>46010</v>
      </c>
      <c r="CK2" s="120"/>
      <c r="CL2" s="119">
        <f t="shared" ref="CL2" si="36">WORKDAY.INTL(CJ2,1,"0000001")</f>
        <v>46011</v>
      </c>
      <c r="CM2" s="120"/>
      <c r="CN2" s="119">
        <f t="shared" ref="CN2" si="37">WORKDAY.INTL(CL2,1,"0000001")</f>
        <v>46013</v>
      </c>
      <c r="CO2" s="120"/>
      <c r="CP2" s="119">
        <f t="shared" ref="CP2" si="38">WORKDAY.INTL(CN2,1,"0000001")</f>
        <v>46014</v>
      </c>
      <c r="CQ2" s="120"/>
      <c r="CR2" s="119">
        <f t="shared" ref="CR2" si="39">WORKDAY.INTL(CP2,1,"0000001")</f>
        <v>46015</v>
      </c>
      <c r="CS2" s="120"/>
      <c r="CT2" s="119">
        <f t="shared" ref="CT2" si="40">WORKDAY.INTL(CR2,1,"0000001")</f>
        <v>46016</v>
      </c>
      <c r="CU2" s="120"/>
      <c r="CV2" s="119">
        <f t="shared" ref="CV2" si="41">WORKDAY.INTL(CT2,1,"0000001")</f>
        <v>46017</v>
      </c>
      <c r="CW2" s="120"/>
      <c r="CX2" s="119">
        <f t="shared" ref="CX2" si="42">WORKDAY.INTL(CV2,1,"0000001")</f>
        <v>46018</v>
      </c>
      <c r="CY2" s="120"/>
      <c r="CZ2" s="119">
        <f t="shared" ref="CZ2" si="43">WORKDAY.INTL(CX2,1,"0000001")</f>
        <v>46020</v>
      </c>
      <c r="DA2" s="120"/>
      <c r="DB2" s="119">
        <f t="shared" ref="DB2" si="44">WORKDAY.INTL(CZ2,1,"0000001")</f>
        <v>46021</v>
      </c>
      <c r="DC2" s="120"/>
      <c r="DD2" s="119">
        <f t="shared" ref="DD2" si="45">WORKDAY.INTL(DB2,1,"0000001")</f>
        <v>46022</v>
      </c>
      <c r="DE2" s="120"/>
      <c r="DF2" s="119">
        <f t="shared" ref="DF2" si="46">WORKDAY.INTL(DD2,1,"0000001")</f>
        <v>46023</v>
      </c>
      <c r="DG2" s="120"/>
      <c r="DH2" s="119">
        <f t="shared" ref="DH2" si="47">WORKDAY.INTL(DF2,1,"0000001")</f>
        <v>46024</v>
      </c>
      <c r="DI2" s="120"/>
      <c r="DJ2" s="119">
        <f t="shared" ref="DJ2" si="48">WORKDAY.INTL(DH2,1,"0000001")</f>
        <v>46025</v>
      </c>
      <c r="DK2" s="120"/>
    </row>
    <row r="3" spans="1:115" ht="72" x14ac:dyDescent="0.3">
      <c r="A3" s="38" t="s">
        <v>505</v>
      </c>
      <c r="B3" s="39" t="s">
        <v>3</v>
      </c>
      <c r="C3" s="49" t="s">
        <v>180</v>
      </c>
      <c r="D3" s="49" t="s">
        <v>503</v>
      </c>
      <c r="E3" s="40" t="s">
        <v>419</v>
      </c>
      <c r="F3" s="51" t="s">
        <v>420</v>
      </c>
      <c r="G3" s="52" t="s">
        <v>421</v>
      </c>
      <c r="H3" s="38" t="s">
        <v>423</v>
      </c>
      <c r="I3" s="39" t="s">
        <v>506</v>
      </c>
      <c r="J3" s="39" t="s">
        <v>507</v>
      </c>
      <c r="K3" s="39" t="s">
        <v>538</v>
      </c>
      <c r="L3" s="40" t="s">
        <v>539</v>
      </c>
      <c r="M3" s="53" t="s">
        <v>424</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c r="DJ3" s="30" t="s">
        <v>425</v>
      </c>
      <c r="DK3" s="31" t="s">
        <v>426</v>
      </c>
    </row>
    <row r="4" spans="1:115" x14ac:dyDescent="0.3">
      <c r="A4" s="2" t="s">
        <v>8</v>
      </c>
      <c r="B4" s="3" t="s">
        <v>9</v>
      </c>
      <c r="C4" s="3" t="s">
        <v>155</v>
      </c>
      <c r="D4" s="3" t="s">
        <v>111</v>
      </c>
      <c r="E4" s="6">
        <f>SUMIF('Sunglasses BOM'!$D$1:$D$79,B4,'Sunglasses BOM'!$E$1:$E$79)</f>
        <v>218400</v>
      </c>
      <c r="F4" s="32" cm="1">
        <f t="array" ref="F4">SUMPRODUCT((MOD(COLUMN($O4:$FT4)-COLUMN($O4),2)=0)*($O4:$FT4))</f>
        <v>0</v>
      </c>
      <c r="G4" s="9">
        <f>E4-F4</f>
        <v>218400</v>
      </c>
      <c r="H4" s="42">
        <f>'Final Processes daily output'!$F$3</f>
        <v>4000</v>
      </c>
      <c r="I4" s="22">
        <f>VLOOKUP(C4,'Molding ABS DPR'!$A$4:$D$19,4,FALSE)</f>
        <v>0</v>
      </c>
      <c r="J4" s="22">
        <f>VLOOKUP(C4,'Molding ABS DPR'!$A$26:$D$41,4,FALSE)</f>
        <v>0</v>
      </c>
      <c r="K4" s="22">
        <f>MIN(ROUNDDOWN(I4/'Pre assembly BOM'!E2,0),ROUNDDOWN(J4/'Pre assembly BOM'!H2,0))</f>
        <v>0</v>
      </c>
      <c r="L4" s="23">
        <f>K4-F4</f>
        <v>0</v>
      </c>
      <c r="M4" s="54">
        <f>G4/H4</f>
        <v>54.6</v>
      </c>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c r="DJ4" s="2"/>
      <c r="DK4" s="6"/>
    </row>
    <row r="5" spans="1:115" x14ac:dyDescent="0.3">
      <c r="A5" s="2" t="s">
        <v>11</v>
      </c>
      <c r="B5" s="3" t="s">
        <v>12</v>
      </c>
      <c r="C5" s="3" t="s">
        <v>156</v>
      </c>
      <c r="D5" s="3" t="s">
        <v>131</v>
      </c>
      <c r="E5" s="6">
        <f>SUMIF('Sunglasses BOM'!$D$1:$D$79,B5,'Sunglasses BOM'!$E$1:$E$79)</f>
        <v>100800</v>
      </c>
      <c r="F5" s="32" cm="1">
        <f t="array" ref="F5">SUMPRODUCT((MOD(COLUMN($O5:$FT5)-COLUMN($O5),2)=0)*($O5:$FT5))</f>
        <v>0</v>
      </c>
      <c r="G5" s="9">
        <f t="shared" ref="G5:G26" si="49">E5-F5</f>
        <v>100800</v>
      </c>
      <c r="H5" s="42">
        <f>'Final Processes daily output'!$F$3</f>
        <v>4000</v>
      </c>
      <c r="I5" s="22">
        <f>VLOOKUP(C5,'Molding ABS DPR'!$A$4:$D$19,4,FALSE)</f>
        <v>0</v>
      </c>
      <c r="J5" s="22">
        <f>VLOOKUP(C5,'Molding ABS DPR'!$A$26:$D$41,4,FALSE)</f>
        <v>0</v>
      </c>
      <c r="K5" s="22">
        <f>MIN(ROUNDDOWN(I5/'Pre assembly BOM'!E3,0),ROUNDDOWN(J5/'Pre assembly BOM'!H3,0))</f>
        <v>0</v>
      </c>
      <c r="L5" s="23">
        <f t="shared" ref="L5:L26" si="50">K5-F5</f>
        <v>0</v>
      </c>
      <c r="M5" s="54">
        <f t="shared" ref="M5:M26" si="51">G5/H5</f>
        <v>25.2</v>
      </c>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c r="DJ5" s="2"/>
      <c r="DK5" s="6"/>
    </row>
    <row r="6" spans="1:115" x14ac:dyDescent="0.3">
      <c r="A6" s="2" t="s">
        <v>13</v>
      </c>
      <c r="B6" s="3" t="s">
        <v>14</v>
      </c>
      <c r="C6" s="3" t="s">
        <v>157</v>
      </c>
      <c r="D6" s="3" t="s">
        <v>116</v>
      </c>
      <c r="E6" s="6">
        <f>SUMIF('Sunglasses BOM'!$D$1:$D$79,B6,'Sunglasses BOM'!$E$1:$E$79)</f>
        <v>151200</v>
      </c>
      <c r="F6" s="32" cm="1">
        <f t="array" ref="F6">SUMPRODUCT((MOD(COLUMN($O6:$FT6)-COLUMN($O6),2)=0)*($O6:$FT6))</f>
        <v>0</v>
      </c>
      <c r="G6" s="9">
        <f t="shared" si="49"/>
        <v>151200</v>
      </c>
      <c r="H6" s="42">
        <f>'Final Processes daily output'!$F$3</f>
        <v>4000</v>
      </c>
      <c r="I6" s="22">
        <f>VLOOKUP(C6,'Molding ABS DPR'!$A$4:$D$19,4,FALSE)</f>
        <v>0</v>
      </c>
      <c r="J6" s="22">
        <f>VLOOKUP(C6,'Molding ABS DPR'!$A$26:$D$41,4,FALSE)</f>
        <v>0</v>
      </c>
      <c r="K6" s="22">
        <f>MIN(ROUNDDOWN(I6/'Pre assembly BOM'!E4,0),ROUNDDOWN(J6/'Pre assembly BOM'!H4,0))</f>
        <v>0</v>
      </c>
      <c r="L6" s="23">
        <f t="shared" si="50"/>
        <v>0</v>
      </c>
      <c r="M6" s="54">
        <f t="shared" si="51"/>
        <v>37.799999999999997</v>
      </c>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c r="DJ6" s="2"/>
      <c r="DK6" s="6"/>
    </row>
    <row r="7" spans="1:115" x14ac:dyDescent="0.3">
      <c r="A7" s="2" t="s">
        <v>15</v>
      </c>
      <c r="B7" s="3" t="s">
        <v>16</v>
      </c>
      <c r="C7" s="3" t="s">
        <v>158</v>
      </c>
      <c r="D7" s="3" t="s">
        <v>132</v>
      </c>
      <c r="E7" s="6">
        <f>SUMIF('Sunglasses BOM'!$D$1:$D$79,B7,'Sunglasses BOM'!$E$1:$E$79)</f>
        <v>100800</v>
      </c>
      <c r="F7" s="32" cm="1">
        <f t="array" ref="F7">SUMPRODUCT((MOD(COLUMN($O7:$FT7)-COLUMN($O7),2)=0)*($O7:$FT7))</f>
        <v>0</v>
      </c>
      <c r="G7" s="9">
        <f t="shared" si="49"/>
        <v>100800</v>
      </c>
      <c r="H7" s="42">
        <f>'Final Processes daily output'!$F$3</f>
        <v>4000</v>
      </c>
      <c r="I7" s="22">
        <f>VLOOKUP(C7,'Molding ABS DPR'!$A$4:$D$19,4,FALSE)</f>
        <v>0</v>
      </c>
      <c r="J7" s="22">
        <f>VLOOKUP(C7,'Molding ABS DPR'!$A$26:$D$41,4,FALSE)</f>
        <v>0</v>
      </c>
      <c r="K7" s="22">
        <f>MIN(ROUNDDOWN(I7/'Pre assembly BOM'!E5,0),ROUNDDOWN(J7/'Pre assembly BOM'!H5,0))</f>
        <v>0</v>
      </c>
      <c r="L7" s="23">
        <f t="shared" si="50"/>
        <v>0</v>
      </c>
      <c r="M7" s="54">
        <f t="shared" si="51"/>
        <v>25.2</v>
      </c>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c r="DJ7" s="2"/>
      <c r="DK7" s="6"/>
    </row>
    <row r="8" spans="1:115" x14ac:dyDescent="0.3">
      <c r="A8" s="2" t="s">
        <v>17</v>
      </c>
      <c r="B8" s="3" t="s">
        <v>18</v>
      </c>
      <c r="C8" s="3" t="s">
        <v>159</v>
      </c>
      <c r="D8" s="3" t="s">
        <v>113</v>
      </c>
      <c r="E8" s="6">
        <f>SUMIF('Sunglasses BOM'!$D$1:$D$79,B8,'Sunglasses BOM'!$E$1:$E$79)</f>
        <v>134400</v>
      </c>
      <c r="F8" s="32" cm="1">
        <f t="array" ref="F8">SUMPRODUCT((MOD(COLUMN($O8:$FT8)-COLUMN($O8),2)=0)*($O8:$FT8))</f>
        <v>0</v>
      </c>
      <c r="G8" s="9">
        <f t="shared" si="49"/>
        <v>134400</v>
      </c>
      <c r="H8" s="42">
        <f>'Final Processes daily output'!$F$3</f>
        <v>4000</v>
      </c>
      <c r="I8" s="22">
        <f>VLOOKUP(C8,'Molding ABS DPR'!$A$4:$D$19,4,FALSE)</f>
        <v>0</v>
      </c>
      <c r="J8" s="22">
        <f>VLOOKUP(C8,'Molding ABS DPR'!$A$26:$D$41,4,FALSE)</f>
        <v>0</v>
      </c>
      <c r="K8" s="22">
        <f>MIN(ROUNDDOWN(I8/'Pre assembly BOM'!E6,0),ROUNDDOWN(J8/'Pre assembly BOM'!H6,0))</f>
        <v>0</v>
      </c>
      <c r="L8" s="23">
        <f t="shared" si="50"/>
        <v>0</v>
      </c>
      <c r="M8" s="54">
        <f t="shared" si="51"/>
        <v>33.6</v>
      </c>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c r="DJ8" s="2"/>
      <c r="DK8" s="6"/>
    </row>
    <row r="9" spans="1:115" x14ac:dyDescent="0.3">
      <c r="A9" s="2" t="s">
        <v>21</v>
      </c>
      <c r="B9" s="3" t="s">
        <v>22</v>
      </c>
      <c r="C9" s="3" t="s">
        <v>160</v>
      </c>
      <c r="D9" s="3" t="s">
        <v>112</v>
      </c>
      <c r="E9" s="6">
        <f>SUMIF('Sunglasses BOM'!$D$1:$D$79,B9,'Sunglasses BOM'!$E$1:$E$79)</f>
        <v>33600</v>
      </c>
      <c r="F9" s="32" cm="1">
        <f t="array" ref="F9">SUMPRODUCT((MOD(COLUMN($O9:$FT9)-COLUMN($O9),2)=0)*($O9:$FT9))</f>
        <v>0</v>
      </c>
      <c r="G9" s="9">
        <f t="shared" si="49"/>
        <v>33600</v>
      </c>
      <c r="H9" s="42">
        <f>'Final Processes daily output'!$F$3</f>
        <v>4000</v>
      </c>
      <c r="I9" s="22">
        <f>VLOOKUP(C9,'Molding ABS DPR'!$A$4:$D$19,4,FALSE)</f>
        <v>0</v>
      </c>
      <c r="J9" s="22">
        <f>VLOOKUP(C9,'Molding ABS DPR'!$A$26:$D$41,4,FALSE)</f>
        <v>0</v>
      </c>
      <c r="K9" s="22">
        <f>MIN(ROUNDDOWN(I9/'Pre assembly BOM'!E7,0),ROUNDDOWN(J9/'Pre assembly BOM'!H7,0))</f>
        <v>0</v>
      </c>
      <c r="L9" s="23">
        <f t="shared" si="50"/>
        <v>0</v>
      </c>
      <c r="M9" s="54">
        <f t="shared" si="51"/>
        <v>8.4</v>
      </c>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c r="DJ9" s="2"/>
      <c r="DK9" s="6"/>
    </row>
    <row r="10" spans="1:115" x14ac:dyDescent="0.3">
      <c r="A10" s="2" t="s">
        <v>23</v>
      </c>
      <c r="B10" s="3" t="s">
        <v>24</v>
      </c>
      <c r="C10" s="3" t="s">
        <v>160</v>
      </c>
      <c r="D10" s="3" t="s">
        <v>112</v>
      </c>
      <c r="E10" s="6">
        <f>SUMIF('Sunglasses BOM'!$D$1:$D$79,B10,'Sunglasses BOM'!$E$1:$E$79)</f>
        <v>16800</v>
      </c>
      <c r="F10" s="32" cm="1">
        <f t="array" ref="F10">SUMPRODUCT((MOD(COLUMN($O10:$FT10)-COLUMN($O10),2)=0)*($O10:$FT10))</f>
        <v>0</v>
      </c>
      <c r="G10" s="9">
        <f t="shared" si="49"/>
        <v>16800</v>
      </c>
      <c r="H10" s="42">
        <f>'Final Processes daily output'!$F$3</f>
        <v>4000</v>
      </c>
      <c r="I10" s="22">
        <f>VLOOKUP(C10,'Molding ABS DPR'!$A$4:$D$19,4,FALSE)</f>
        <v>0</v>
      </c>
      <c r="J10" s="22">
        <f>VLOOKUP(C10,'Molding ABS DPR'!$A$26:$D$41,4,FALSE)</f>
        <v>0</v>
      </c>
      <c r="K10" s="22">
        <f>MIN(ROUNDDOWN(I10/'Pre assembly BOM'!E8,0),ROUNDDOWN(J10/'Pre assembly BOM'!H8,0))</f>
        <v>0</v>
      </c>
      <c r="L10" s="23">
        <f t="shared" si="50"/>
        <v>0</v>
      </c>
      <c r="M10" s="54">
        <f t="shared" si="51"/>
        <v>4.2</v>
      </c>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c r="DJ10" s="2"/>
      <c r="DK10" s="6"/>
    </row>
    <row r="11" spans="1:115" ht="15" thickBot="1" x14ac:dyDescent="0.35">
      <c r="A11" s="2" t="s">
        <v>31</v>
      </c>
      <c r="B11" s="3" t="s">
        <v>32</v>
      </c>
      <c r="C11" s="3" t="s">
        <v>163</v>
      </c>
      <c r="D11" s="3" t="s">
        <v>116</v>
      </c>
      <c r="E11" s="6">
        <f>SUMIF('Sunglasses BOM'!$D$1:$D$79,B11,'Sunglasses BOM'!$E$1:$E$79)</f>
        <v>25200</v>
      </c>
      <c r="F11" s="32" cm="1">
        <f t="array" ref="F11">SUMPRODUCT((MOD(COLUMN($O11:$FT11)-COLUMN($O11),2)=0)*($O11:$FT11))</f>
        <v>0</v>
      </c>
      <c r="G11" s="10">
        <f t="shared" si="49"/>
        <v>25200</v>
      </c>
      <c r="H11" s="42">
        <f>'Final Processes daily output'!$F$3</f>
        <v>4000</v>
      </c>
      <c r="I11" s="22">
        <f>VLOOKUP(C11,'Molding ABS DPR'!$A$4:$D$19,4,FALSE)</f>
        <v>0</v>
      </c>
      <c r="J11" s="22">
        <f>VLOOKUP(C11,'Molding ABS DPR'!$A$26:$D$41,4,FALSE)</f>
        <v>0</v>
      </c>
      <c r="K11" s="22">
        <f>MIN(ROUNDDOWN(I11/'Pre assembly BOM'!E9,0),ROUNDDOWN(J11/'Pre assembly BOM'!H9,0))</f>
        <v>0</v>
      </c>
      <c r="L11" s="23">
        <f t="shared" si="50"/>
        <v>0</v>
      </c>
      <c r="M11" s="55">
        <f t="shared" si="51"/>
        <v>6.3</v>
      </c>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c r="DJ11" s="4"/>
      <c r="DK11" s="7"/>
    </row>
    <row r="12" spans="1:115" ht="15" thickBot="1" x14ac:dyDescent="0.35">
      <c r="A12" s="2" t="s">
        <v>33</v>
      </c>
      <c r="B12" s="3" t="s">
        <v>34</v>
      </c>
      <c r="C12" s="3" t="s">
        <v>163</v>
      </c>
      <c r="D12" s="3" t="s">
        <v>116</v>
      </c>
      <c r="E12" s="6">
        <f>SUMIF('Sunglasses BOM'!$D$1:$D$79,B12,'Sunglasses BOM'!$E$1:$E$79)</f>
        <v>8400</v>
      </c>
      <c r="F12" s="32" cm="1">
        <f t="array" ref="F12">SUMPRODUCT((MOD(COLUMN($O12:$FT12)-COLUMN($O12),2)=0)*($O12:$FT12))</f>
        <v>0</v>
      </c>
      <c r="G12" s="10">
        <f t="shared" si="49"/>
        <v>8400</v>
      </c>
      <c r="H12" s="42">
        <f>'Final Processes daily output'!$F$3</f>
        <v>4000</v>
      </c>
      <c r="I12" s="22">
        <f>VLOOKUP(C12,'Molding ABS DPR'!$A$4:$D$19,4,FALSE)</f>
        <v>0</v>
      </c>
      <c r="J12" s="22">
        <f>VLOOKUP(C12,'Molding ABS DPR'!$A$26:$D$41,4,FALSE)</f>
        <v>0</v>
      </c>
      <c r="K12" s="22">
        <f>MIN(ROUNDDOWN(I12/'Pre assembly BOM'!E10,0),ROUNDDOWN(J12/'Pre assembly BOM'!H10,0))</f>
        <v>0</v>
      </c>
      <c r="L12" s="23">
        <f t="shared" si="50"/>
        <v>0</v>
      </c>
      <c r="M12" s="55">
        <f t="shared" si="51"/>
        <v>2.1</v>
      </c>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c r="DJ12" s="4"/>
      <c r="DK12" s="7"/>
    </row>
    <row r="13" spans="1:115" ht="15" thickBot="1" x14ac:dyDescent="0.35">
      <c r="A13" s="2" t="s">
        <v>37</v>
      </c>
      <c r="B13" s="3" t="s">
        <v>38</v>
      </c>
      <c r="C13" s="3" t="s">
        <v>125</v>
      </c>
      <c r="D13" s="3" t="s">
        <v>125</v>
      </c>
      <c r="E13" s="6">
        <f>SUMIF('Sunglasses BOM'!$D$1:$D$79,B13,'Sunglasses BOM'!$E$1:$E$79)</f>
        <v>42000</v>
      </c>
      <c r="F13" s="32" cm="1">
        <f t="array" ref="F13">SUMPRODUCT((MOD(COLUMN($O13:$FT13)-COLUMN($O13),2)=0)*($O13:$FT13))</f>
        <v>0</v>
      </c>
      <c r="G13" s="10">
        <f t="shared" si="49"/>
        <v>42000</v>
      </c>
      <c r="H13" s="42">
        <f>'Final Processes daily output'!$F$3</f>
        <v>4000</v>
      </c>
      <c r="I13" s="22">
        <f>VLOOKUP(C13,'Molding ABS DPR'!$A$4:$D$19,4,FALSE)</f>
        <v>0</v>
      </c>
      <c r="J13" s="22">
        <f>VLOOKUP(C13,'Molding ABS DPR'!$A$26:$D$41,4,FALSE)</f>
        <v>0</v>
      </c>
      <c r="K13" s="22">
        <f>MIN(ROUNDDOWN(I13/'Pre assembly BOM'!E11,0),ROUNDDOWN(J13/'Pre assembly BOM'!H11,0))</f>
        <v>0</v>
      </c>
      <c r="L13" s="23">
        <f t="shared" si="50"/>
        <v>0</v>
      </c>
      <c r="M13" s="55">
        <f t="shared" si="51"/>
        <v>10.5</v>
      </c>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c r="DJ13" s="4"/>
      <c r="DK13" s="7"/>
    </row>
    <row r="14" spans="1:115" ht="15" thickBot="1" x14ac:dyDescent="0.35">
      <c r="A14" s="2" t="s">
        <v>39</v>
      </c>
      <c r="B14" s="3" t="s">
        <v>40</v>
      </c>
      <c r="C14" s="3" t="s">
        <v>125</v>
      </c>
      <c r="D14" s="3" t="s">
        <v>125</v>
      </c>
      <c r="E14" s="6">
        <f>SUMIF('Sunglasses BOM'!$D$1:$D$79,B14,'Sunglasses BOM'!$E$1:$E$79)</f>
        <v>25200</v>
      </c>
      <c r="F14" s="32" cm="1">
        <f t="array" ref="F14">SUMPRODUCT((MOD(COLUMN($O14:$FT14)-COLUMN($O14),2)=0)*($O14:$FT14))</f>
        <v>0</v>
      </c>
      <c r="G14" s="10">
        <f t="shared" si="49"/>
        <v>25200</v>
      </c>
      <c r="H14" s="42">
        <f>'Final Processes daily output'!$F$3</f>
        <v>4000</v>
      </c>
      <c r="I14" s="22">
        <f>VLOOKUP(C14,'Molding ABS DPR'!$A$4:$D$19,4,FALSE)</f>
        <v>0</v>
      </c>
      <c r="J14" s="22">
        <f>VLOOKUP(C14,'Molding ABS DPR'!$A$26:$D$41,4,FALSE)</f>
        <v>0</v>
      </c>
      <c r="K14" s="22">
        <f>MIN(ROUNDDOWN(I14/'Pre assembly BOM'!E12,0),ROUNDDOWN(J14/'Pre assembly BOM'!H12,0))</f>
        <v>0</v>
      </c>
      <c r="L14" s="23">
        <f t="shared" si="50"/>
        <v>0</v>
      </c>
      <c r="M14" s="55">
        <f t="shared" si="51"/>
        <v>6.3</v>
      </c>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c r="DJ14" s="4"/>
      <c r="DK14" s="7"/>
    </row>
    <row r="15" spans="1:115" ht="15" thickBot="1" x14ac:dyDescent="0.35">
      <c r="A15" s="2" t="s">
        <v>41</v>
      </c>
      <c r="B15" s="3" t="s">
        <v>42</v>
      </c>
      <c r="C15" s="3" t="s">
        <v>125</v>
      </c>
      <c r="D15" s="3" t="s">
        <v>125</v>
      </c>
      <c r="E15" s="6">
        <f>SUMIF('Sunglasses BOM'!$D$1:$D$79,B15,'Sunglasses BOM'!$E$1:$E$79)</f>
        <v>16800</v>
      </c>
      <c r="F15" s="32" cm="1">
        <f t="array" ref="F15">SUMPRODUCT((MOD(COLUMN($O15:$FT15)-COLUMN($O15),2)=0)*($O15:$FT15))</f>
        <v>0</v>
      </c>
      <c r="G15" s="10">
        <f t="shared" si="49"/>
        <v>16800</v>
      </c>
      <c r="H15" s="42">
        <f>'Final Processes daily output'!$F$3</f>
        <v>4000</v>
      </c>
      <c r="I15" s="22">
        <f>VLOOKUP(C15,'Molding ABS DPR'!$A$4:$D$19,4,FALSE)</f>
        <v>0</v>
      </c>
      <c r="J15" s="22">
        <f>VLOOKUP(C15,'Molding ABS DPR'!$A$26:$D$41,4,FALSE)</f>
        <v>0</v>
      </c>
      <c r="K15" s="22">
        <f>MIN(ROUNDDOWN(I15/'Pre assembly BOM'!E13,0),ROUNDDOWN(J15/'Pre assembly BOM'!H13,0))</f>
        <v>0</v>
      </c>
      <c r="L15" s="23">
        <f t="shared" si="50"/>
        <v>0</v>
      </c>
      <c r="M15" s="55">
        <f t="shared" si="51"/>
        <v>4.2</v>
      </c>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c r="DJ15" s="4"/>
      <c r="DK15" s="7"/>
    </row>
    <row r="16" spans="1:115" ht="15" thickBot="1" x14ac:dyDescent="0.35">
      <c r="A16" s="2" t="s">
        <v>43</v>
      </c>
      <c r="B16" s="3" t="s">
        <v>44</v>
      </c>
      <c r="C16" s="3" t="s">
        <v>125</v>
      </c>
      <c r="D16" s="3" t="s">
        <v>125</v>
      </c>
      <c r="E16" s="6">
        <f>SUMIF('Sunglasses BOM'!$D$1:$D$79,B16,'Sunglasses BOM'!$E$1:$E$79)</f>
        <v>16800</v>
      </c>
      <c r="F16" s="32" cm="1">
        <f t="array" ref="F16">SUMPRODUCT((MOD(COLUMN($O16:$FT16)-COLUMN($O16),2)=0)*($O16:$FT16))</f>
        <v>0</v>
      </c>
      <c r="G16" s="10">
        <f t="shared" si="49"/>
        <v>16800</v>
      </c>
      <c r="H16" s="42">
        <f>'Final Processes daily output'!$F$3</f>
        <v>4000</v>
      </c>
      <c r="I16" s="22">
        <f>VLOOKUP(C16,'Molding ABS DPR'!$A$4:$D$19,4,FALSE)</f>
        <v>0</v>
      </c>
      <c r="J16" s="22">
        <f>VLOOKUP(C16,'Molding ABS DPR'!$A$26:$D$41,4,FALSE)</f>
        <v>0</v>
      </c>
      <c r="K16" s="22">
        <f>MIN(ROUNDDOWN(I16/'Pre assembly BOM'!E14,0),ROUNDDOWN(J16/'Pre assembly BOM'!H14,0))</f>
        <v>0</v>
      </c>
      <c r="L16" s="23">
        <f t="shared" si="50"/>
        <v>0</v>
      </c>
      <c r="M16" s="55">
        <f t="shared" si="51"/>
        <v>4.2</v>
      </c>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c r="DJ16" s="4"/>
      <c r="DK16" s="7"/>
    </row>
    <row r="17" spans="1:115" ht="15" thickBot="1" x14ac:dyDescent="0.35">
      <c r="A17" s="2" t="s">
        <v>45</v>
      </c>
      <c r="B17" s="3" t="s">
        <v>46</v>
      </c>
      <c r="C17" s="3" t="s">
        <v>125</v>
      </c>
      <c r="D17" s="3" t="s">
        <v>125</v>
      </c>
      <c r="E17" s="6">
        <f>SUMIF('Sunglasses BOM'!$D$1:$D$79,B17,'Sunglasses BOM'!$E$1:$E$79)</f>
        <v>16800</v>
      </c>
      <c r="F17" s="32" cm="1">
        <f t="array" ref="F17">SUMPRODUCT((MOD(COLUMN($O17:$FT17)-COLUMN($O17),2)=0)*($O17:$FT17))</f>
        <v>0</v>
      </c>
      <c r="G17" s="10">
        <f t="shared" si="49"/>
        <v>16800</v>
      </c>
      <c r="H17" s="42">
        <f>'Final Processes daily output'!$F$3</f>
        <v>4000</v>
      </c>
      <c r="I17" s="22">
        <f>VLOOKUP(C17,'Molding ABS DPR'!$A$4:$D$19,4,FALSE)</f>
        <v>0</v>
      </c>
      <c r="J17" s="22">
        <f>VLOOKUP(C17,'Molding ABS DPR'!$A$26:$D$41,4,FALSE)</f>
        <v>0</v>
      </c>
      <c r="K17" s="22">
        <f>MIN(ROUNDDOWN(I17/'Pre assembly BOM'!E15,0),ROUNDDOWN(J17/'Pre assembly BOM'!H15,0))</f>
        <v>0</v>
      </c>
      <c r="L17" s="25">
        <f t="shared" si="50"/>
        <v>0</v>
      </c>
      <c r="M17" s="55">
        <f t="shared" si="51"/>
        <v>4.2</v>
      </c>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c r="DJ17" s="4"/>
      <c r="DK17" s="7"/>
    </row>
    <row r="18" spans="1:115" x14ac:dyDescent="0.3">
      <c r="A18" s="2" t="s">
        <v>25</v>
      </c>
      <c r="B18" s="3" t="s">
        <v>26</v>
      </c>
      <c r="C18" s="3" t="s">
        <v>161</v>
      </c>
      <c r="D18" s="3" t="s">
        <v>114</v>
      </c>
      <c r="E18" s="6">
        <f>SUMIF('Sunglasses BOM'!$D$1:$D$79,B18,'Sunglasses BOM'!$E$1:$E$79)</f>
        <v>25200</v>
      </c>
      <c r="F18" s="2" cm="1">
        <f t="array" ref="F18">SUMPRODUCT((MOD(COLUMN($O18:$FT18)-COLUMN($O18),2)=0)*($O18:$FT18))</f>
        <v>0</v>
      </c>
      <c r="G18" s="9">
        <f t="shared" si="49"/>
        <v>25200</v>
      </c>
      <c r="H18" s="42">
        <f>'Final Processes daily output'!$F$3</f>
        <v>4000</v>
      </c>
      <c r="I18" s="22">
        <f>VLOOKUP(C18,'Molding ABS DPR'!$A$4:$D$19,4,FALSE)</f>
        <v>0</v>
      </c>
      <c r="J18" s="22">
        <f>VLOOKUP(C18,'Molding ABS DPR'!$A$26:$D$41,4,FALSE)</f>
        <v>0</v>
      </c>
      <c r="K18" s="22">
        <f>MIN(ROUNDDOWN(I18/'Pre assembly BOM'!E16,0),ROUNDDOWN(J18/'Pre assembly BOM'!H16,0))</f>
        <v>0</v>
      </c>
      <c r="L18" s="22">
        <f t="shared" si="50"/>
        <v>0</v>
      </c>
      <c r="M18" s="23">
        <f t="shared" si="51"/>
        <v>6.3</v>
      </c>
      <c r="N18" s="3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6"/>
      <c r="DJ18" s="2"/>
      <c r="DK18" s="6"/>
    </row>
    <row r="19" spans="1:115" ht="15" thickBot="1" x14ac:dyDescent="0.35">
      <c r="A19" s="2" t="s">
        <v>27</v>
      </c>
      <c r="B19" s="3" t="s">
        <v>28</v>
      </c>
      <c r="C19" s="3" t="s">
        <v>162</v>
      </c>
      <c r="D19" s="3" t="s">
        <v>115</v>
      </c>
      <c r="E19" s="6">
        <f>SUMIF('Sunglasses BOM'!$D$1:$D$79,B19,'Sunglasses BOM'!$E$1:$E$79)</f>
        <v>16800</v>
      </c>
      <c r="F19" s="2" cm="1">
        <f t="array" ref="F19">SUMPRODUCT((MOD(COLUMN($O19:$FT19)-COLUMN($O19),2)=0)*($O19:$FT19))</f>
        <v>0</v>
      </c>
      <c r="G19" s="9">
        <f t="shared" si="49"/>
        <v>16800</v>
      </c>
      <c r="H19" s="42">
        <f>'Final Processes daily output'!$F$3</f>
        <v>4000</v>
      </c>
      <c r="I19" s="22">
        <f>VLOOKUP(C19,'Molding ABS DPR'!$A$4:$D$19,4,FALSE)</f>
        <v>0</v>
      </c>
      <c r="J19" s="22">
        <f>VLOOKUP(C19,'Molding ABS DPR'!$A$26:$D$41,4,FALSE)</f>
        <v>0</v>
      </c>
      <c r="K19" s="22">
        <f>MIN(ROUNDDOWN(I19/'Pre assembly BOM'!E17,0),ROUNDDOWN(J19/'Pre assembly BOM'!H17,0))</f>
        <v>0</v>
      </c>
      <c r="L19" s="22">
        <f t="shared" si="50"/>
        <v>0</v>
      </c>
      <c r="M19" s="23">
        <f t="shared" si="51"/>
        <v>4.2</v>
      </c>
      <c r="N19" s="56"/>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7"/>
      <c r="DJ19" s="4"/>
      <c r="DK19" s="7"/>
    </row>
    <row r="20" spans="1:115" ht="15" thickBot="1" x14ac:dyDescent="0.35">
      <c r="A20" s="2" t="s">
        <v>29</v>
      </c>
      <c r="B20" s="3" t="s">
        <v>30</v>
      </c>
      <c r="C20" s="3" t="s">
        <v>162</v>
      </c>
      <c r="D20" s="3" t="s">
        <v>115</v>
      </c>
      <c r="E20" s="6">
        <f>SUMIF('Sunglasses BOM'!$D$1:$D$79,B20,'Sunglasses BOM'!$E$1:$E$79)</f>
        <v>8400</v>
      </c>
      <c r="F20" s="2" cm="1">
        <f t="array" ref="F20">SUMPRODUCT((MOD(COLUMN($O20:$FT20)-COLUMN($O20),2)=0)*($O20:$FT20))</f>
        <v>0</v>
      </c>
      <c r="G20" s="9">
        <f t="shared" si="49"/>
        <v>8400</v>
      </c>
      <c r="H20" s="42">
        <f>'Final Processes daily output'!$F$3</f>
        <v>4000</v>
      </c>
      <c r="I20" s="22">
        <f>VLOOKUP(C20,'Molding ABS DPR'!$A$4:$D$19,4,FALSE)</f>
        <v>0</v>
      </c>
      <c r="J20" s="22">
        <f>VLOOKUP(C20,'Molding ABS DPR'!$A$26:$D$41,4,FALSE)</f>
        <v>0</v>
      </c>
      <c r="K20" s="22">
        <f>MIN(ROUNDDOWN(I20/'Pre assembly BOM'!E18,0),ROUNDDOWN(J20/'Pre assembly BOM'!H18,0))</f>
        <v>0</v>
      </c>
      <c r="L20" s="22">
        <f t="shared" si="50"/>
        <v>0</v>
      </c>
      <c r="M20" s="23">
        <f t="shared" si="51"/>
        <v>2.1</v>
      </c>
      <c r="N20" s="56"/>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7"/>
      <c r="DJ20" s="4"/>
      <c r="DK20" s="7"/>
    </row>
    <row r="21" spans="1:115" ht="15" thickBot="1" x14ac:dyDescent="0.35">
      <c r="A21" s="2" t="s">
        <v>35</v>
      </c>
      <c r="B21" s="3" t="s">
        <v>36</v>
      </c>
      <c r="C21" s="3" t="s">
        <v>164</v>
      </c>
      <c r="D21" s="3" t="s">
        <v>117</v>
      </c>
      <c r="E21" s="6">
        <f>SUMIF('Sunglasses BOM'!$D$1:$D$79,B21,'Sunglasses BOM'!$E$1:$E$79)</f>
        <v>8400</v>
      </c>
      <c r="F21" s="2" cm="1">
        <f t="array" ref="F21">SUMPRODUCT((MOD(COLUMN($O21:$FT21)-COLUMN($O21),2)=0)*($O21:$FT21))</f>
        <v>0</v>
      </c>
      <c r="G21" s="9">
        <f t="shared" si="49"/>
        <v>8400</v>
      </c>
      <c r="H21" s="42">
        <f>'Final Processes daily output'!$F$3</f>
        <v>4000</v>
      </c>
      <c r="I21" s="22">
        <f>VLOOKUP(C21,'Molding ABS DPR'!$A$4:$D$19,4,FALSE)</f>
        <v>0</v>
      </c>
      <c r="J21" s="22">
        <f>VLOOKUP(C21,'Molding ABS DPR'!$A$26:$D$41,4,FALSE)</f>
        <v>0</v>
      </c>
      <c r="K21" s="22">
        <f>MIN(ROUNDDOWN(I21/'Pre assembly BOM'!E19,0),ROUNDDOWN(J21/'Pre assembly BOM'!H19,0))</f>
        <v>0</v>
      </c>
      <c r="L21" s="22">
        <f t="shared" si="50"/>
        <v>0</v>
      </c>
      <c r="M21" s="23">
        <f t="shared" si="51"/>
        <v>2.1</v>
      </c>
      <c r="N21" s="56"/>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7"/>
      <c r="DJ21" s="4"/>
      <c r="DK21" s="7"/>
    </row>
    <row r="22" spans="1:115" ht="15" thickBot="1" x14ac:dyDescent="0.35">
      <c r="A22" s="2" t="s">
        <v>47</v>
      </c>
      <c r="B22" s="3" t="s">
        <v>48</v>
      </c>
      <c r="C22" s="3" t="s">
        <v>165</v>
      </c>
      <c r="D22" s="3" t="s">
        <v>127</v>
      </c>
      <c r="E22" s="6">
        <f>SUMIF('Sunglasses BOM'!$D$1:$D$79,B22,'Sunglasses BOM'!$E$1:$E$79)</f>
        <v>16800</v>
      </c>
      <c r="F22" s="2" cm="1">
        <f t="array" ref="F22">SUMPRODUCT((MOD(COLUMN($O22:$FT22)-COLUMN($O22),2)=0)*($O22:$FT22))</f>
        <v>0</v>
      </c>
      <c r="G22" s="9">
        <f t="shared" si="49"/>
        <v>16800</v>
      </c>
      <c r="H22" s="42">
        <f>'Final Processes daily output'!$F$3</f>
        <v>4000</v>
      </c>
      <c r="I22" s="22">
        <f>VLOOKUP(C22,'Molding ABS DPR'!$A$4:$D$19,4,FALSE)</f>
        <v>0</v>
      </c>
      <c r="J22" s="22">
        <f>VLOOKUP(C22,'Molding ABS DPR'!$A$26:$D$41,4,FALSE)</f>
        <v>0</v>
      </c>
      <c r="K22" s="22">
        <f>MIN(ROUNDDOWN(I22/'Pre assembly BOM'!E20,0),ROUNDDOWN(J22/'Pre assembly BOM'!H20,0))</f>
        <v>0</v>
      </c>
      <c r="L22" s="22">
        <f t="shared" si="50"/>
        <v>0</v>
      </c>
      <c r="M22" s="23">
        <f t="shared" si="51"/>
        <v>4.2</v>
      </c>
      <c r="N22" s="56"/>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7"/>
      <c r="DJ22" s="4"/>
      <c r="DK22" s="7"/>
    </row>
    <row r="23" spans="1:115" ht="15" thickBot="1" x14ac:dyDescent="0.35">
      <c r="A23" s="2" t="s">
        <v>49</v>
      </c>
      <c r="B23" s="3" t="s">
        <v>50</v>
      </c>
      <c r="C23" s="3" t="s">
        <v>166</v>
      </c>
      <c r="D23" s="3" t="s">
        <v>128</v>
      </c>
      <c r="E23" s="6">
        <f>SUMIF('Sunglasses BOM'!$D$1:$D$79,B23,'Sunglasses BOM'!$E$1:$E$79)</f>
        <v>25200</v>
      </c>
      <c r="F23" s="2" cm="1">
        <f t="array" ref="F23">SUMPRODUCT((MOD(COLUMN($O23:$FT23)-COLUMN($O23),2)=0)*($O23:$FT23))</f>
        <v>0</v>
      </c>
      <c r="G23" s="9">
        <f t="shared" si="49"/>
        <v>25200</v>
      </c>
      <c r="H23" s="42">
        <f>'Final Processes daily output'!$F$3</f>
        <v>4000</v>
      </c>
      <c r="I23" s="22">
        <f>VLOOKUP(C23,'Molding ABS DPR'!$A$4:$D$19,4,FALSE)</f>
        <v>0</v>
      </c>
      <c r="J23" s="22">
        <f>VLOOKUP(C23,'Molding ABS DPR'!$A$26:$D$41,4,FALSE)</f>
        <v>0</v>
      </c>
      <c r="K23" s="22">
        <f>MIN(ROUNDDOWN(I23/'Pre assembly BOM'!E21,0),ROUNDDOWN(J23/'Pre assembly BOM'!H21,0))</f>
        <v>0</v>
      </c>
      <c r="L23" s="22">
        <f t="shared" si="50"/>
        <v>0</v>
      </c>
      <c r="M23" s="23">
        <f t="shared" si="51"/>
        <v>6.3</v>
      </c>
      <c r="N23" s="56"/>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7"/>
      <c r="DJ23" s="4"/>
      <c r="DK23" s="7"/>
    </row>
    <row r="24" spans="1:115" ht="15" thickBot="1" x14ac:dyDescent="0.35">
      <c r="A24" s="2" t="s">
        <v>51</v>
      </c>
      <c r="B24" s="3" t="s">
        <v>52</v>
      </c>
      <c r="C24" s="3" t="s">
        <v>167</v>
      </c>
      <c r="D24" s="3" t="s">
        <v>129</v>
      </c>
      <c r="E24" s="6">
        <f>SUMIF('Sunglasses BOM'!$D$1:$D$79,B24,'Sunglasses BOM'!$E$1:$E$79)</f>
        <v>16800</v>
      </c>
      <c r="F24" s="2" cm="1">
        <f t="array" ref="F24">SUMPRODUCT((MOD(COLUMN($O24:$FT24)-COLUMN($O24),2)=0)*($O24:$FT24))</f>
        <v>0</v>
      </c>
      <c r="G24" s="9">
        <f t="shared" si="49"/>
        <v>16800</v>
      </c>
      <c r="H24" s="42">
        <f>'Final Processes daily output'!$F$3</f>
        <v>4000</v>
      </c>
      <c r="I24" s="22">
        <f>VLOOKUP(C24,'Molding ABS DPR'!$A$4:$D$19,4,FALSE)</f>
        <v>0</v>
      </c>
      <c r="J24" s="22">
        <f>VLOOKUP(C24,'Molding ABS DPR'!$A$26:$D$41,4,FALSE)</f>
        <v>0</v>
      </c>
      <c r="K24" s="22">
        <f>MIN(ROUNDDOWN(I24/'Pre assembly BOM'!E22,0),ROUNDDOWN(J24/'Pre assembly BOM'!H22,0))</f>
        <v>0</v>
      </c>
      <c r="L24" s="22">
        <f t="shared" si="50"/>
        <v>0</v>
      </c>
      <c r="M24" s="23">
        <f t="shared" si="51"/>
        <v>4.2</v>
      </c>
      <c r="N24" s="56"/>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7"/>
      <c r="DJ24" s="4"/>
      <c r="DK24" s="7"/>
    </row>
    <row r="25" spans="1:115" ht="15" thickBot="1" x14ac:dyDescent="0.35">
      <c r="A25" s="2" t="s">
        <v>53</v>
      </c>
      <c r="B25" s="3" t="s">
        <v>54</v>
      </c>
      <c r="C25" s="3" t="s">
        <v>168</v>
      </c>
      <c r="D25" s="3" t="s">
        <v>130</v>
      </c>
      <c r="E25" s="6">
        <f>SUMIF('Sunglasses BOM'!$D$1:$D$79,B25,'Sunglasses BOM'!$E$1:$E$79)</f>
        <v>16800</v>
      </c>
      <c r="F25" s="2" cm="1">
        <f t="array" ref="F25">SUMPRODUCT((MOD(COLUMN($O25:$FT25)-COLUMN($O25),2)=0)*($O25:$FT25))</f>
        <v>0</v>
      </c>
      <c r="G25" s="9">
        <f t="shared" si="49"/>
        <v>16800</v>
      </c>
      <c r="H25" s="42">
        <f>'Final Processes daily output'!$F$3</f>
        <v>4000</v>
      </c>
      <c r="I25" s="22">
        <f>VLOOKUP(C25,'Molding ABS DPR'!$A$4:$D$19,4,FALSE)</f>
        <v>0</v>
      </c>
      <c r="J25" s="22">
        <f>VLOOKUP(C25,'Molding ABS DPR'!$A$26:$D$41,4,FALSE)</f>
        <v>0</v>
      </c>
      <c r="K25" s="22">
        <f>MIN(ROUNDDOWN(I25/'Pre assembly BOM'!E23,0),ROUNDDOWN(J25/'Pre assembly BOM'!H23,0))</f>
        <v>0</v>
      </c>
      <c r="L25" s="22">
        <f t="shared" si="50"/>
        <v>0</v>
      </c>
      <c r="M25" s="23">
        <f t="shared" si="51"/>
        <v>4.2</v>
      </c>
      <c r="N25" s="56"/>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7"/>
      <c r="DJ25" s="4"/>
      <c r="DK25" s="7"/>
    </row>
    <row r="26" spans="1:115" ht="15" thickBot="1" x14ac:dyDescent="0.35">
      <c r="A26" s="4" t="s">
        <v>55</v>
      </c>
      <c r="B26" s="5" t="s">
        <v>56</v>
      </c>
      <c r="C26" s="5" t="s">
        <v>169</v>
      </c>
      <c r="D26" s="5" t="s">
        <v>123</v>
      </c>
      <c r="E26" s="6">
        <f>SUMIF('Sunglasses BOM'!$D$1:$D$79,B26,'Sunglasses BOM'!$E$1:$E$79)</f>
        <v>16800</v>
      </c>
      <c r="F26" s="4" cm="1">
        <f t="array" ref="F26">SUMPRODUCT((MOD(COLUMN($O26:$FT26)-COLUMN($O26),2)=0)*($O26:$FT26))</f>
        <v>0</v>
      </c>
      <c r="G26" s="10">
        <f t="shared" si="49"/>
        <v>16800</v>
      </c>
      <c r="H26" s="42">
        <f>'Final Processes daily output'!$F$3</f>
        <v>4000</v>
      </c>
      <c r="I26" s="22">
        <f>VLOOKUP(C26,'Molding ABS DPR'!$A$4:$D$19,4,FALSE)</f>
        <v>0</v>
      </c>
      <c r="J26" s="22">
        <f>VLOOKUP(C26,'Molding ABS DPR'!$A$26:$D$41,4,FALSE)</f>
        <v>0</v>
      </c>
      <c r="K26" s="22">
        <f>MIN(ROUNDDOWN(I26/'Pre assembly BOM'!E24,0),ROUNDDOWN(J26/'Pre assembly BOM'!H24,0))</f>
        <v>0</v>
      </c>
      <c r="L26" s="24">
        <f t="shared" si="50"/>
        <v>0</v>
      </c>
      <c r="M26" s="25">
        <f t="shared" si="51"/>
        <v>4.2</v>
      </c>
      <c r="N26" s="56"/>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7"/>
      <c r="DJ26" s="4"/>
      <c r="DK26" s="7"/>
    </row>
  </sheetData>
  <mergeCells count="102">
    <mergeCell ref="DH2:DI2"/>
    <mergeCell ref="DJ2:DK2"/>
    <mergeCell ref="CV2:CW2"/>
    <mergeCell ref="CX2:CY2"/>
    <mergeCell ref="CZ2:DA2"/>
    <mergeCell ref="DB2:DC2"/>
    <mergeCell ref="DD2:DE2"/>
    <mergeCell ref="DF2:DG2"/>
    <mergeCell ref="CJ2:CK2"/>
    <mergeCell ref="CL2:CM2"/>
    <mergeCell ref="CN2:CO2"/>
    <mergeCell ref="CP2:CQ2"/>
    <mergeCell ref="CR2:CS2"/>
    <mergeCell ref="CT2:CU2"/>
    <mergeCell ref="AX2:AY2"/>
    <mergeCell ref="BX2:BY2"/>
    <mergeCell ref="BZ2:CA2"/>
    <mergeCell ref="CB2:CC2"/>
    <mergeCell ref="CD2:CE2"/>
    <mergeCell ref="CF2:CG2"/>
    <mergeCell ref="CH2:CI2"/>
    <mergeCell ref="BL2:BM2"/>
    <mergeCell ref="BN2:BO2"/>
    <mergeCell ref="BP2:BQ2"/>
    <mergeCell ref="BR2:BS2"/>
    <mergeCell ref="BT2:BU2"/>
    <mergeCell ref="BV2:BW2"/>
    <mergeCell ref="DF1:DG1"/>
    <mergeCell ref="DH1:DI1"/>
    <mergeCell ref="DJ1:DK1"/>
    <mergeCell ref="CX1:CY1"/>
    <mergeCell ref="CZ1:DA1"/>
    <mergeCell ref="DB1:DC1"/>
    <mergeCell ref="DD1:DE1"/>
    <mergeCell ref="BP1:BQ1"/>
    <mergeCell ref="BR1:BS1"/>
    <mergeCell ref="BT1:BU1"/>
    <mergeCell ref="BJ1:BK1"/>
    <mergeCell ref="BL1:BM1"/>
    <mergeCell ref="BN1:BO1"/>
    <mergeCell ref="AB2:AC2"/>
    <mergeCell ref="AD2:AE2"/>
    <mergeCell ref="AF2:AG2"/>
    <mergeCell ref="AH2:AI2"/>
    <mergeCell ref="AJ2:AK2"/>
    <mergeCell ref="AL2:AM2"/>
    <mergeCell ref="AX1:AY1"/>
    <mergeCell ref="AZ1:BA1"/>
    <mergeCell ref="BB1:BC1"/>
    <mergeCell ref="BD1:BE1"/>
    <mergeCell ref="BF1:BG1"/>
    <mergeCell ref="BH1:BI1"/>
    <mergeCell ref="AL1:AM1"/>
    <mergeCell ref="AN1:AO1"/>
    <mergeCell ref="AZ2:BA2"/>
    <mergeCell ref="BB2:BC2"/>
    <mergeCell ref="BD2:BE2"/>
    <mergeCell ref="BF2:BG2"/>
    <mergeCell ref="BH2:BI2"/>
    <mergeCell ref="BJ2:BK2"/>
    <mergeCell ref="AN2:AO2"/>
    <mergeCell ref="CT1:CU1"/>
    <mergeCell ref="CV1:CW1"/>
    <mergeCell ref="CH1:CI1"/>
    <mergeCell ref="CJ1:CK1"/>
    <mergeCell ref="CL1:CM1"/>
    <mergeCell ref="CN1:CO1"/>
    <mergeCell ref="CP1:CQ1"/>
    <mergeCell ref="CR1:CS1"/>
    <mergeCell ref="BV1:BW1"/>
    <mergeCell ref="BX1:BY1"/>
    <mergeCell ref="BZ1:CA1"/>
    <mergeCell ref="CB1:CC1"/>
    <mergeCell ref="CD1:CE1"/>
    <mergeCell ref="CF1:CG1"/>
    <mergeCell ref="AV1:AW1"/>
    <mergeCell ref="Z1:AA1"/>
    <mergeCell ref="AB1:AC1"/>
    <mergeCell ref="AD1:AE1"/>
    <mergeCell ref="AF1:AG1"/>
    <mergeCell ref="AH1:AI1"/>
    <mergeCell ref="AJ1:AK1"/>
    <mergeCell ref="N2:O2"/>
    <mergeCell ref="P2:Q2"/>
    <mergeCell ref="R2:S2"/>
    <mergeCell ref="T2:U2"/>
    <mergeCell ref="V2:W2"/>
    <mergeCell ref="X2:Y2"/>
    <mergeCell ref="Z2:AA2"/>
    <mergeCell ref="AP2:AQ2"/>
    <mergeCell ref="AR2:AS2"/>
    <mergeCell ref="AT2:AU2"/>
    <mergeCell ref="AV2:AW2"/>
    <mergeCell ref="N1:O1"/>
    <mergeCell ref="P1:Q1"/>
    <mergeCell ref="R1:S1"/>
    <mergeCell ref="T1:U1"/>
    <mergeCell ref="V1:W1"/>
    <mergeCell ref="X1:Y1"/>
    <mergeCell ref="AP1:AQ1"/>
    <mergeCell ref="AR1:AS1"/>
    <mergeCell ref="AT1:AU1"/>
  </mergeCells>
  <conditionalFormatting sqref="L4:L26">
    <cfRule type="cellIs" dxfId="23" priority="1" operator="lessThan">
      <formula>0</formula>
    </cfRule>
  </conditionalFormatting>
  <conditionalFormatting sqref="N2:DK2">
    <cfRule type="expression" dxfId="22" priority="2">
      <formula>SUM(N$4:N$17)&gt;$H$4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6F17-0726-4AA8-85B7-F11676FE9719}">
  <dimension ref="A1:I48"/>
  <sheetViews>
    <sheetView topLeftCell="A15" zoomScale="148" workbookViewId="0">
      <selection activeCell="D20" sqref="D20"/>
    </sheetView>
  </sheetViews>
  <sheetFormatPr defaultRowHeight="14.4" x14ac:dyDescent="0.3"/>
  <cols>
    <col min="1" max="1" width="13.21875" bestFit="1" customWidth="1"/>
    <col min="2" max="2" width="29.44140625" bestFit="1" customWidth="1"/>
    <col min="3" max="3" width="11.44140625" bestFit="1" customWidth="1"/>
    <col min="4" max="4" width="11.6640625" bestFit="1" customWidth="1"/>
    <col min="5" max="5" width="8" bestFit="1" customWidth="1"/>
    <col min="6" max="6" width="14.44140625" bestFit="1" customWidth="1"/>
    <col min="7" max="7" width="11.88671875" bestFit="1" customWidth="1"/>
    <col min="10" max="10" width="10.21875" bestFit="1" customWidth="1"/>
  </cols>
  <sheetData>
    <row r="1" spans="1:9" x14ac:dyDescent="0.3">
      <c r="A1" t="s">
        <v>2</v>
      </c>
      <c r="B1" t="s">
        <v>3</v>
      </c>
      <c r="C1" t="s">
        <v>180</v>
      </c>
      <c r="D1" t="s">
        <v>503</v>
      </c>
      <c r="E1" t="s">
        <v>4</v>
      </c>
      <c r="F1" t="s">
        <v>179</v>
      </c>
      <c r="G1" t="s">
        <v>504</v>
      </c>
      <c r="H1" t="s">
        <v>4</v>
      </c>
      <c r="I1" t="s">
        <v>119</v>
      </c>
    </row>
    <row r="2" spans="1:9" x14ac:dyDescent="0.3">
      <c r="A2" t="s">
        <v>8</v>
      </c>
      <c r="B2" t="s">
        <v>9</v>
      </c>
      <c r="C2" t="s">
        <v>155</v>
      </c>
      <c r="D2" t="s">
        <v>111</v>
      </c>
      <c r="E2">
        <v>1</v>
      </c>
      <c r="F2" t="s">
        <v>155</v>
      </c>
      <c r="G2" t="s">
        <v>111</v>
      </c>
      <c r="H2">
        <v>2</v>
      </c>
    </row>
    <row r="3" spans="1:9" x14ac:dyDescent="0.3">
      <c r="A3" t="s">
        <v>11</v>
      </c>
      <c r="B3" t="s">
        <v>12</v>
      </c>
      <c r="C3" t="s">
        <v>156</v>
      </c>
      <c r="D3" t="s">
        <v>131</v>
      </c>
      <c r="E3">
        <v>1</v>
      </c>
      <c r="F3" t="s">
        <v>156</v>
      </c>
      <c r="G3" t="s">
        <v>131</v>
      </c>
      <c r="H3">
        <v>2</v>
      </c>
    </row>
    <row r="4" spans="1:9" x14ac:dyDescent="0.3">
      <c r="A4" t="s">
        <v>13</v>
      </c>
      <c r="B4" t="s">
        <v>14</v>
      </c>
      <c r="C4" t="s">
        <v>157</v>
      </c>
      <c r="D4" t="s">
        <v>116</v>
      </c>
      <c r="E4">
        <v>1</v>
      </c>
      <c r="F4" t="s">
        <v>157</v>
      </c>
      <c r="G4" t="s">
        <v>116</v>
      </c>
      <c r="H4">
        <v>2</v>
      </c>
    </row>
    <row r="5" spans="1:9" x14ac:dyDescent="0.3">
      <c r="A5" t="s">
        <v>15</v>
      </c>
      <c r="B5" t="s">
        <v>16</v>
      </c>
      <c r="C5" t="s">
        <v>158</v>
      </c>
      <c r="D5" t="s">
        <v>132</v>
      </c>
      <c r="E5">
        <v>1</v>
      </c>
      <c r="F5" t="s">
        <v>158</v>
      </c>
      <c r="G5" t="s">
        <v>132</v>
      </c>
      <c r="H5">
        <v>2</v>
      </c>
    </row>
    <row r="6" spans="1:9" x14ac:dyDescent="0.3">
      <c r="A6" t="s">
        <v>17</v>
      </c>
      <c r="B6" t="s">
        <v>18</v>
      </c>
      <c r="C6" t="s">
        <v>159</v>
      </c>
      <c r="D6" t="s">
        <v>113</v>
      </c>
      <c r="E6">
        <v>1</v>
      </c>
      <c r="F6" t="s">
        <v>159</v>
      </c>
      <c r="G6" t="s">
        <v>113</v>
      </c>
      <c r="H6">
        <v>2</v>
      </c>
    </row>
    <row r="7" spans="1:9" x14ac:dyDescent="0.3">
      <c r="A7" t="s">
        <v>21</v>
      </c>
      <c r="B7" t="s">
        <v>22</v>
      </c>
      <c r="C7" t="s">
        <v>160</v>
      </c>
      <c r="D7" t="s">
        <v>112</v>
      </c>
      <c r="E7">
        <v>1</v>
      </c>
      <c r="F7" t="s">
        <v>160</v>
      </c>
      <c r="G7" t="s">
        <v>112</v>
      </c>
      <c r="H7">
        <v>2</v>
      </c>
    </row>
    <row r="8" spans="1:9" x14ac:dyDescent="0.3">
      <c r="A8" t="s">
        <v>23</v>
      </c>
      <c r="B8" t="s">
        <v>24</v>
      </c>
      <c r="C8" t="s">
        <v>160</v>
      </c>
      <c r="D8" t="s">
        <v>112</v>
      </c>
      <c r="E8">
        <v>1</v>
      </c>
      <c r="F8" t="s">
        <v>160</v>
      </c>
      <c r="G8" t="s">
        <v>112</v>
      </c>
      <c r="H8">
        <v>2</v>
      </c>
    </row>
    <row r="9" spans="1:9" x14ac:dyDescent="0.3">
      <c r="A9" t="s">
        <v>25</v>
      </c>
      <c r="B9" t="s">
        <v>26</v>
      </c>
      <c r="C9" t="s">
        <v>161</v>
      </c>
      <c r="D9" t="s">
        <v>114</v>
      </c>
      <c r="E9">
        <v>1</v>
      </c>
      <c r="F9" t="s">
        <v>161</v>
      </c>
      <c r="G9" t="s">
        <v>114</v>
      </c>
      <c r="H9">
        <v>2</v>
      </c>
    </row>
    <row r="10" spans="1:9" x14ac:dyDescent="0.3">
      <c r="A10" t="s">
        <v>27</v>
      </c>
      <c r="B10" t="s">
        <v>28</v>
      </c>
      <c r="C10" t="s">
        <v>162</v>
      </c>
      <c r="D10" t="s">
        <v>115</v>
      </c>
      <c r="E10">
        <v>1</v>
      </c>
      <c r="F10" t="s">
        <v>162</v>
      </c>
      <c r="G10" t="s">
        <v>115</v>
      </c>
      <c r="H10">
        <v>2</v>
      </c>
    </row>
    <row r="11" spans="1:9" x14ac:dyDescent="0.3">
      <c r="A11" t="s">
        <v>29</v>
      </c>
      <c r="B11" t="s">
        <v>30</v>
      </c>
      <c r="C11" t="s">
        <v>162</v>
      </c>
      <c r="D11" t="s">
        <v>115</v>
      </c>
      <c r="E11">
        <v>1</v>
      </c>
      <c r="F11" t="s">
        <v>162</v>
      </c>
      <c r="G11" t="s">
        <v>115</v>
      </c>
      <c r="H11">
        <v>2</v>
      </c>
    </row>
    <row r="12" spans="1:9" x14ac:dyDescent="0.3">
      <c r="A12" t="s">
        <v>31</v>
      </c>
      <c r="B12" t="s">
        <v>32</v>
      </c>
      <c r="C12" t="s">
        <v>163</v>
      </c>
      <c r="D12" t="s">
        <v>116</v>
      </c>
      <c r="E12">
        <v>1</v>
      </c>
      <c r="F12" t="s">
        <v>163</v>
      </c>
      <c r="G12" t="s">
        <v>116</v>
      </c>
      <c r="H12">
        <v>2</v>
      </c>
    </row>
    <row r="13" spans="1:9" x14ac:dyDescent="0.3">
      <c r="A13" t="s">
        <v>33</v>
      </c>
      <c r="B13" t="s">
        <v>34</v>
      </c>
      <c r="C13" t="s">
        <v>163</v>
      </c>
      <c r="D13" t="s">
        <v>116</v>
      </c>
      <c r="E13">
        <v>1</v>
      </c>
      <c r="F13" t="s">
        <v>163</v>
      </c>
      <c r="G13" t="s">
        <v>116</v>
      </c>
      <c r="H13">
        <v>2</v>
      </c>
    </row>
    <row r="14" spans="1:9" x14ac:dyDescent="0.3">
      <c r="A14" t="s">
        <v>35</v>
      </c>
      <c r="B14" t="s">
        <v>36</v>
      </c>
      <c r="C14" t="s">
        <v>164</v>
      </c>
      <c r="D14" t="s">
        <v>117</v>
      </c>
      <c r="E14">
        <v>1</v>
      </c>
      <c r="F14" t="s">
        <v>164</v>
      </c>
      <c r="G14" t="s">
        <v>117</v>
      </c>
      <c r="H14">
        <v>2</v>
      </c>
    </row>
    <row r="15" spans="1:9" x14ac:dyDescent="0.3">
      <c r="A15" t="s">
        <v>37</v>
      </c>
      <c r="B15" t="s">
        <v>38</v>
      </c>
      <c r="C15" t="s">
        <v>125</v>
      </c>
      <c r="D15" t="s">
        <v>125</v>
      </c>
      <c r="E15">
        <v>1</v>
      </c>
      <c r="F15" t="s">
        <v>125</v>
      </c>
      <c r="G15" t="s">
        <v>125</v>
      </c>
      <c r="H15">
        <v>2</v>
      </c>
    </row>
    <row r="16" spans="1:9" x14ac:dyDescent="0.3">
      <c r="A16" t="s">
        <v>39</v>
      </c>
      <c r="B16" t="s">
        <v>40</v>
      </c>
      <c r="C16" t="s">
        <v>125</v>
      </c>
      <c r="D16" t="s">
        <v>125</v>
      </c>
      <c r="E16">
        <v>1</v>
      </c>
      <c r="F16" t="s">
        <v>125</v>
      </c>
      <c r="G16" t="s">
        <v>125</v>
      </c>
      <c r="H16">
        <v>2</v>
      </c>
    </row>
    <row r="17" spans="1:9" x14ac:dyDescent="0.3">
      <c r="A17" t="s">
        <v>41</v>
      </c>
      <c r="B17" t="s">
        <v>42</v>
      </c>
      <c r="C17" t="s">
        <v>125</v>
      </c>
      <c r="D17" t="s">
        <v>125</v>
      </c>
      <c r="E17">
        <v>1</v>
      </c>
      <c r="F17" t="s">
        <v>125</v>
      </c>
      <c r="G17" t="s">
        <v>125</v>
      </c>
      <c r="H17">
        <v>2</v>
      </c>
    </row>
    <row r="18" spans="1:9" x14ac:dyDescent="0.3">
      <c r="A18" t="s">
        <v>43</v>
      </c>
      <c r="B18" t="s">
        <v>44</v>
      </c>
      <c r="C18" t="s">
        <v>125</v>
      </c>
      <c r="D18" t="s">
        <v>125</v>
      </c>
      <c r="E18">
        <v>1</v>
      </c>
      <c r="F18" t="s">
        <v>125</v>
      </c>
      <c r="G18" t="s">
        <v>125</v>
      </c>
      <c r="H18">
        <v>2</v>
      </c>
    </row>
    <row r="19" spans="1:9" x14ac:dyDescent="0.3">
      <c r="A19" t="s">
        <v>45</v>
      </c>
      <c r="B19" t="s">
        <v>46</v>
      </c>
      <c r="C19" t="s">
        <v>125</v>
      </c>
      <c r="D19" t="s">
        <v>125</v>
      </c>
      <c r="E19">
        <v>1</v>
      </c>
      <c r="F19" t="s">
        <v>125</v>
      </c>
      <c r="G19" t="s">
        <v>125</v>
      </c>
      <c r="H19">
        <v>2</v>
      </c>
    </row>
    <row r="20" spans="1:9" x14ac:dyDescent="0.3">
      <c r="A20" t="s">
        <v>47</v>
      </c>
      <c r="B20" t="s">
        <v>48</v>
      </c>
      <c r="C20" t="s">
        <v>165</v>
      </c>
      <c r="D20" t="s">
        <v>127</v>
      </c>
      <c r="E20">
        <v>1</v>
      </c>
      <c r="F20" t="s">
        <v>165</v>
      </c>
      <c r="G20" t="s">
        <v>127</v>
      </c>
      <c r="H20">
        <v>2</v>
      </c>
    </row>
    <row r="21" spans="1:9" x14ac:dyDescent="0.3">
      <c r="A21" t="s">
        <v>49</v>
      </c>
      <c r="B21" t="s">
        <v>50</v>
      </c>
      <c r="C21" t="s">
        <v>166</v>
      </c>
      <c r="D21" t="s">
        <v>128</v>
      </c>
      <c r="E21">
        <v>1</v>
      </c>
      <c r="F21" t="s">
        <v>166</v>
      </c>
      <c r="G21" t="s">
        <v>128</v>
      </c>
      <c r="H21">
        <v>2</v>
      </c>
    </row>
    <row r="22" spans="1:9" x14ac:dyDescent="0.3">
      <c r="A22" t="s">
        <v>51</v>
      </c>
      <c r="B22" t="s">
        <v>52</v>
      </c>
      <c r="C22" t="s">
        <v>167</v>
      </c>
      <c r="D22" t="s">
        <v>129</v>
      </c>
      <c r="E22">
        <v>1</v>
      </c>
      <c r="F22" t="s">
        <v>167</v>
      </c>
      <c r="G22" t="s">
        <v>129</v>
      </c>
      <c r="H22">
        <v>2</v>
      </c>
    </row>
    <row r="23" spans="1:9" x14ac:dyDescent="0.3">
      <c r="A23" t="s">
        <v>53</v>
      </c>
      <c r="B23" t="s">
        <v>54</v>
      </c>
      <c r="C23" t="s">
        <v>168</v>
      </c>
      <c r="D23" t="s">
        <v>130</v>
      </c>
      <c r="E23">
        <v>1</v>
      </c>
      <c r="F23" t="s">
        <v>168</v>
      </c>
      <c r="G23" t="s">
        <v>130</v>
      </c>
      <c r="H23">
        <v>2</v>
      </c>
    </row>
    <row r="24" spans="1:9" x14ac:dyDescent="0.3">
      <c r="A24" t="s">
        <v>55</v>
      </c>
      <c r="B24" t="s">
        <v>56</v>
      </c>
      <c r="C24" t="s">
        <v>169</v>
      </c>
      <c r="D24" t="s">
        <v>123</v>
      </c>
      <c r="E24">
        <v>1</v>
      </c>
      <c r="F24" t="s">
        <v>169</v>
      </c>
      <c r="G24" t="s">
        <v>123</v>
      </c>
      <c r="H24">
        <v>2</v>
      </c>
    </row>
    <row r="25" spans="1:9" x14ac:dyDescent="0.3">
      <c r="A25" t="s">
        <v>58</v>
      </c>
      <c r="B25" t="s">
        <v>59</v>
      </c>
      <c r="C25" t="s">
        <v>170</v>
      </c>
      <c r="D25" t="s">
        <v>111</v>
      </c>
      <c r="E25">
        <v>1</v>
      </c>
      <c r="F25" t="s">
        <v>170</v>
      </c>
      <c r="G25" t="s">
        <v>111</v>
      </c>
      <c r="H25">
        <v>2</v>
      </c>
    </row>
    <row r="26" spans="1:9" x14ac:dyDescent="0.3">
      <c r="A26" t="s">
        <v>60</v>
      </c>
      <c r="B26" t="s">
        <v>61</v>
      </c>
      <c r="C26" t="s">
        <v>171</v>
      </c>
      <c r="D26" t="s">
        <v>112</v>
      </c>
      <c r="E26">
        <v>1</v>
      </c>
      <c r="F26" t="s">
        <v>171</v>
      </c>
      <c r="G26" t="s">
        <v>112</v>
      </c>
      <c r="H26">
        <v>2</v>
      </c>
      <c r="I26" t="s">
        <v>119</v>
      </c>
    </row>
    <row r="27" spans="1:9" x14ac:dyDescent="0.3">
      <c r="A27" t="s">
        <v>62</v>
      </c>
      <c r="B27" t="s">
        <v>63</v>
      </c>
      <c r="C27" t="s">
        <v>171</v>
      </c>
      <c r="D27" t="s">
        <v>112</v>
      </c>
      <c r="E27">
        <v>1</v>
      </c>
      <c r="F27" t="s">
        <v>171</v>
      </c>
      <c r="G27" t="s">
        <v>112</v>
      </c>
      <c r="H27">
        <v>2</v>
      </c>
    </row>
    <row r="28" spans="1:9" x14ac:dyDescent="0.3">
      <c r="A28" t="s">
        <v>64</v>
      </c>
      <c r="B28" t="s">
        <v>65</v>
      </c>
      <c r="C28" t="s">
        <v>172</v>
      </c>
      <c r="D28" t="s">
        <v>120</v>
      </c>
      <c r="E28">
        <v>1</v>
      </c>
      <c r="F28" t="s">
        <v>172</v>
      </c>
      <c r="G28" t="s">
        <v>120</v>
      </c>
      <c r="H28">
        <v>2</v>
      </c>
      <c r="I28" t="s">
        <v>119</v>
      </c>
    </row>
    <row r="29" spans="1:9" x14ac:dyDescent="0.3">
      <c r="A29" t="s">
        <v>66</v>
      </c>
      <c r="B29" t="s">
        <v>67</v>
      </c>
      <c r="C29" t="s">
        <v>172</v>
      </c>
      <c r="D29" t="s">
        <v>120</v>
      </c>
      <c r="E29">
        <v>1</v>
      </c>
      <c r="F29" t="s">
        <v>172</v>
      </c>
      <c r="G29" t="s">
        <v>120</v>
      </c>
      <c r="H29">
        <v>2</v>
      </c>
    </row>
    <row r="30" spans="1:9" x14ac:dyDescent="0.3">
      <c r="A30" t="s">
        <v>68</v>
      </c>
      <c r="B30" t="s">
        <v>69</v>
      </c>
      <c r="C30" t="s">
        <v>173</v>
      </c>
      <c r="D30" t="s">
        <v>116</v>
      </c>
      <c r="E30">
        <v>1</v>
      </c>
      <c r="F30" t="s">
        <v>173</v>
      </c>
      <c r="G30" t="s">
        <v>116</v>
      </c>
      <c r="H30">
        <v>2</v>
      </c>
      <c r="I30" t="s">
        <v>119</v>
      </c>
    </row>
    <row r="31" spans="1:9" x14ac:dyDescent="0.3">
      <c r="A31" t="s">
        <v>70</v>
      </c>
      <c r="B31" t="s">
        <v>71</v>
      </c>
      <c r="C31" t="s">
        <v>173</v>
      </c>
      <c r="D31" t="s">
        <v>116</v>
      </c>
      <c r="E31">
        <v>1</v>
      </c>
      <c r="F31" t="s">
        <v>173</v>
      </c>
      <c r="G31" t="s">
        <v>116</v>
      </c>
      <c r="H31">
        <v>2</v>
      </c>
    </row>
    <row r="32" spans="1:9" x14ac:dyDescent="0.3">
      <c r="A32" t="s">
        <v>72</v>
      </c>
      <c r="B32" t="s">
        <v>73</v>
      </c>
      <c r="C32" t="s">
        <v>113</v>
      </c>
      <c r="D32" t="s">
        <v>113</v>
      </c>
      <c r="E32">
        <v>1</v>
      </c>
      <c r="F32" t="s">
        <v>113</v>
      </c>
      <c r="G32" t="s">
        <v>113</v>
      </c>
      <c r="H32">
        <v>2</v>
      </c>
      <c r="I32" t="s">
        <v>119</v>
      </c>
    </row>
    <row r="33" spans="1:9" x14ac:dyDescent="0.3">
      <c r="A33" t="s">
        <v>74</v>
      </c>
      <c r="B33" t="s">
        <v>75</v>
      </c>
      <c r="C33" t="s">
        <v>113</v>
      </c>
      <c r="D33" t="s">
        <v>113</v>
      </c>
      <c r="E33">
        <v>1</v>
      </c>
      <c r="F33" t="s">
        <v>113</v>
      </c>
      <c r="G33" t="s">
        <v>113</v>
      </c>
      <c r="H33">
        <v>2</v>
      </c>
    </row>
    <row r="34" spans="1:9" x14ac:dyDescent="0.3">
      <c r="A34" t="s">
        <v>76</v>
      </c>
      <c r="B34" t="s">
        <v>77</v>
      </c>
      <c r="C34" t="s">
        <v>170</v>
      </c>
      <c r="D34" t="s">
        <v>111</v>
      </c>
      <c r="E34">
        <v>1</v>
      </c>
      <c r="F34" t="s">
        <v>174</v>
      </c>
      <c r="G34" t="s">
        <v>121</v>
      </c>
      <c r="H34">
        <v>2</v>
      </c>
    </row>
    <row r="35" spans="1:9" x14ac:dyDescent="0.3">
      <c r="A35" t="s">
        <v>78</v>
      </c>
      <c r="B35" t="s">
        <v>79</v>
      </c>
      <c r="C35" t="s">
        <v>175</v>
      </c>
      <c r="D35" t="s">
        <v>122</v>
      </c>
      <c r="E35">
        <v>1</v>
      </c>
      <c r="F35" t="s">
        <v>175</v>
      </c>
      <c r="G35" t="s">
        <v>122</v>
      </c>
      <c r="H35">
        <v>2</v>
      </c>
    </row>
    <row r="36" spans="1:9" x14ac:dyDescent="0.3">
      <c r="A36" t="s">
        <v>80</v>
      </c>
      <c r="B36" t="s">
        <v>81</v>
      </c>
      <c r="C36" t="s">
        <v>176</v>
      </c>
      <c r="D36" t="s">
        <v>115</v>
      </c>
      <c r="E36">
        <v>1</v>
      </c>
      <c r="F36" t="s">
        <v>176</v>
      </c>
      <c r="G36" t="s">
        <v>115</v>
      </c>
      <c r="H36">
        <v>2</v>
      </c>
      <c r="I36" t="s">
        <v>119</v>
      </c>
    </row>
    <row r="37" spans="1:9" x14ac:dyDescent="0.3">
      <c r="A37" t="s">
        <v>82</v>
      </c>
      <c r="B37" t="s">
        <v>83</v>
      </c>
      <c r="C37" t="s">
        <v>176</v>
      </c>
      <c r="D37" t="s">
        <v>115</v>
      </c>
      <c r="E37">
        <v>1</v>
      </c>
      <c r="F37" t="s">
        <v>176</v>
      </c>
      <c r="G37" t="s">
        <v>115</v>
      </c>
      <c r="H37">
        <v>2</v>
      </c>
    </row>
    <row r="38" spans="1:9" x14ac:dyDescent="0.3">
      <c r="A38" t="s">
        <v>84</v>
      </c>
      <c r="B38" t="s">
        <v>85</v>
      </c>
      <c r="C38" t="s">
        <v>177</v>
      </c>
      <c r="D38" t="s">
        <v>123</v>
      </c>
      <c r="E38">
        <v>1</v>
      </c>
      <c r="F38" t="s">
        <v>177</v>
      </c>
      <c r="G38" t="s">
        <v>123</v>
      </c>
      <c r="H38">
        <v>2</v>
      </c>
    </row>
    <row r="39" spans="1:9" x14ac:dyDescent="0.3">
      <c r="A39" t="s">
        <v>86</v>
      </c>
      <c r="B39" t="s">
        <v>87</v>
      </c>
      <c r="C39" t="s">
        <v>113</v>
      </c>
      <c r="D39" t="s">
        <v>113</v>
      </c>
      <c r="E39">
        <v>1</v>
      </c>
      <c r="F39" t="s">
        <v>171</v>
      </c>
      <c r="G39" t="s">
        <v>112</v>
      </c>
      <c r="H39">
        <v>2</v>
      </c>
    </row>
    <row r="40" spans="1:9" x14ac:dyDescent="0.3">
      <c r="A40" t="s">
        <v>88</v>
      </c>
      <c r="B40" t="s">
        <v>89</v>
      </c>
      <c r="C40" t="s">
        <v>113</v>
      </c>
      <c r="D40" t="s">
        <v>113</v>
      </c>
      <c r="E40">
        <v>1</v>
      </c>
      <c r="F40" t="s">
        <v>173</v>
      </c>
      <c r="G40" t="s">
        <v>116</v>
      </c>
      <c r="H40">
        <v>2</v>
      </c>
    </row>
    <row r="41" spans="1:9" x14ac:dyDescent="0.3">
      <c r="A41" t="s">
        <v>90</v>
      </c>
      <c r="B41" t="s">
        <v>91</v>
      </c>
      <c r="C41" t="s">
        <v>159</v>
      </c>
      <c r="D41" t="s">
        <v>113</v>
      </c>
      <c r="E41">
        <v>1</v>
      </c>
      <c r="F41" t="s">
        <v>159</v>
      </c>
      <c r="G41" t="s">
        <v>113</v>
      </c>
      <c r="H41">
        <v>2</v>
      </c>
    </row>
    <row r="42" spans="1:9" x14ac:dyDescent="0.3">
      <c r="A42" t="s">
        <v>92</v>
      </c>
      <c r="B42" t="s">
        <v>93</v>
      </c>
      <c r="C42" t="s">
        <v>159</v>
      </c>
      <c r="D42" t="s">
        <v>113</v>
      </c>
      <c r="E42">
        <v>1</v>
      </c>
      <c r="F42" t="s">
        <v>159</v>
      </c>
      <c r="G42" t="s">
        <v>113</v>
      </c>
      <c r="H42">
        <v>2</v>
      </c>
    </row>
    <row r="43" spans="1:9" x14ac:dyDescent="0.3">
      <c r="A43" t="s">
        <v>94</v>
      </c>
      <c r="B43" t="s">
        <v>95</v>
      </c>
      <c r="C43" t="s">
        <v>159</v>
      </c>
      <c r="D43" t="s">
        <v>113</v>
      </c>
      <c r="E43">
        <v>1</v>
      </c>
      <c r="F43" t="s">
        <v>159</v>
      </c>
      <c r="G43" t="s">
        <v>113</v>
      </c>
      <c r="H43">
        <v>2</v>
      </c>
    </row>
    <row r="44" spans="1:9" x14ac:dyDescent="0.3">
      <c r="A44" t="s">
        <v>96</v>
      </c>
      <c r="B44" t="s">
        <v>97</v>
      </c>
      <c r="C44" t="s">
        <v>159</v>
      </c>
      <c r="D44" t="s">
        <v>113</v>
      </c>
      <c r="E44">
        <v>1</v>
      </c>
      <c r="F44" t="s">
        <v>159</v>
      </c>
      <c r="G44" t="s">
        <v>113</v>
      </c>
      <c r="H44">
        <v>2</v>
      </c>
    </row>
    <row r="45" spans="1:9" x14ac:dyDescent="0.3">
      <c r="A45" t="s">
        <v>98</v>
      </c>
      <c r="B45" t="s">
        <v>99</v>
      </c>
      <c r="C45" t="s">
        <v>170</v>
      </c>
      <c r="D45" t="s">
        <v>111</v>
      </c>
      <c r="E45">
        <v>1</v>
      </c>
      <c r="F45" t="s">
        <v>171</v>
      </c>
      <c r="G45" t="s">
        <v>112</v>
      </c>
      <c r="H45">
        <v>2</v>
      </c>
    </row>
    <row r="46" spans="1:9" x14ac:dyDescent="0.3">
      <c r="A46" t="s">
        <v>100</v>
      </c>
      <c r="B46" t="s">
        <v>101</v>
      </c>
      <c r="C46" t="s">
        <v>170</v>
      </c>
      <c r="D46" t="s">
        <v>111</v>
      </c>
      <c r="E46">
        <v>1</v>
      </c>
      <c r="F46" t="s">
        <v>176</v>
      </c>
      <c r="G46" t="s">
        <v>115</v>
      </c>
      <c r="H46">
        <v>2</v>
      </c>
    </row>
    <row r="47" spans="1:9" x14ac:dyDescent="0.3">
      <c r="A47" t="s">
        <v>102</v>
      </c>
      <c r="B47" t="s">
        <v>103</v>
      </c>
      <c r="C47" t="s">
        <v>178</v>
      </c>
      <c r="D47" t="s">
        <v>112</v>
      </c>
      <c r="E47">
        <v>1</v>
      </c>
      <c r="F47" t="s">
        <v>170</v>
      </c>
      <c r="G47" t="s">
        <v>111</v>
      </c>
      <c r="H47">
        <v>2</v>
      </c>
    </row>
    <row r="48" spans="1:9" x14ac:dyDescent="0.3">
      <c r="A48" t="s">
        <v>104</v>
      </c>
      <c r="B48" t="s">
        <v>105</v>
      </c>
      <c r="C48" t="s">
        <v>176</v>
      </c>
      <c r="D48" t="s">
        <v>115</v>
      </c>
      <c r="E48">
        <v>1</v>
      </c>
      <c r="F48" t="s">
        <v>170</v>
      </c>
      <c r="G48" t="s">
        <v>111</v>
      </c>
      <c r="H48">
        <v>2</v>
      </c>
    </row>
  </sheetData>
  <phoneticPr fontId="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B95C-6057-4BFF-9275-042147395DC1}">
  <dimension ref="A1:DI26"/>
  <sheetViews>
    <sheetView workbookViewId="0">
      <pane xSplit="10" ySplit="3" topLeftCell="K4" activePane="bottomRight" state="frozen"/>
      <selection pane="topRight" activeCell="M1" sqref="M1"/>
      <selection pane="bottomLeft" activeCell="A4" sqref="A4"/>
      <selection pane="bottomRight" activeCell="K4" sqref="K4:K26"/>
    </sheetView>
  </sheetViews>
  <sheetFormatPr defaultRowHeight="14.4" x14ac:dyDescent="0.3"/>
  <cols>
    <col min="1" max="1" width="13.21875" bestFit="1" customWidth="1"/>
    <col min="2" max="2" width="29.44140625" bestFit="1" customWidth="1"/>
    <col min="3" max="3" width="13.5546875" bestFit="1" customWidth="1"/>
    <col min="4" max="4" width="11.6640625" bestFit="1" customWidth="1"/>
    <col min="5" max="5" width="9.109375" bestFit="1" customWidth="1"/>
    <col min="6" max="6" width="8.109375" bestFit="1" customWidth="1"/>
    <col min="7" max="7" width="7.44140625" bestFit="1" customWidth="1"/>
    <col min="8" max="8" width="7.77734375" bestFit="1" customWidth="1"/>
    <col min="9" max="9" width="8.33203125" bestFit="1" customWidth="1"/>
    <col min="10" max="10" width="8.77734375" customWidth="1"/>
    <col min="11" max="11" width="8.5546875" bestFit="1" customWidth="1"/>
    <col min="12" max="12" width="7.5546875" bestFit="1" customWidth="1"/>
    <col min="13" max="13" width="6" bestFit="1" customWidth="1"/>
    <col min="14" max="14" width="7.5546875" bestFit="1" customWidth="1"/>
    <col min="15" max="15" width="6" bestFit="1" customWidth="1"/>
    <col min="16" max="16" width="7.5546875" bestFit="1" customWidth="1"/>
    <col min="17" max="17" width="6" bestFit="1" customWidth="1"/>
    <col min="18" max="18" width="7.5546875" bestFit="1" customWidth="1"/>
    <col min="19" max="19" width="6" bestFit="1" customWidth="1"/>
    <col min="20" max="20" width="7.5546875" bestFit="1" customWidth="1"/>
    <col min="21" max="21" width="6" bestFit="1" customWidth="1"/>
    <col min="22" max="22" width="7.5546875" bestFit="1" customWidth="1"/>
    <col min="23" max="23" width="6" bestFit="1" customWidth="1"/>
    <col min="24" max="24" width="7.5546875" bestFit="1" customWidth="1"/>
    <col min="25" max="25" width="6" bestFit="1" customWidth="1"/>
    <col min="26" max="26" width="7.5546875" bestFit="1" customWidth="1"/>
    <col min="27" max="27" width="6" bestFit="1" customWidth="1"/>
    <col min="28" max="28" width="7.5546875" bestFit="1" customWidth="1"/>
    <col min="29" max="29" width="6" bestFit="1" customWidth="1"/>
    <col min="30" max="30" width="7.5546875" bestFit="1" customWidth="1"/>
    <col min="31" max="31" width="6" bestFit="1" customWidth="1"/>
    <col min="32" max="32" width="7.5546875" bestFit="1" customWidth="1"/>
    <col min="33" max="33" width="6" bestFit="1" customWidth="1"/>
    <col min="34" max="34" width="7.5546875" bestFit="1" customWidth="1"/>
    <col min="35" max="35" width="6" bestFit="1" customWidth="1"/>
    <col min="36" max="36" width="7.5546875" bestFit="1" customWidth="1"/>
    <col min="37" max="37" width="6" bestFit="1" customWidth="1"/>
    <col min="38" max="38" width="7.5546875" bestFit="1" customWidth="1"/>
    <col min="39" max="39" width="6" bestFit="1" customWidth="1"/>
    <col min="40" max="40" width="7.5546875" bestFit="1" customWidth="1"/>
    <col min="41" max="41" width="6" bestFit="1" customWidth="1"/>
    <col min="42" max="42" width="7.5546875" bestFit="1" customWidth="1"/>
    <col min="43" max="43" width="6" bestFit="1" customWidth="1"/>
    <col min="44" max="44" width="7.5546875" bestFit="1" customWidth="1"/>
    <col min="45" max="45" width="6" bestFit="1" customWidth="1"/>
    <col min="46" max="46" width="7.5546875" bestFit="1" customWidth="1"/>
    <col min="47" max="47" width="6" bestFit="1" customWidth="1"/>
    <col min="48" max="48" width="7.5546875" bestFit="1" customWidth="1"/>
    <col min="49" max="49" width="6" bestFit="1" customWidth="1"/>
    <col min="50" max="50" width="7.5546875" bestFit="1" customWidth="1"/>
    <col min="51" max="51" width="6" bestFit="1" customWidth="1"/>
    <col min="52" max="52" width="7.5546875" bestFit="1" customWidth="1"/>
    <col min="53" max="53" width="6" bestFit="1" customWidth="1"/>
    <col min="54" max="54" width="7.5546875" bestFit="1" customWidth="1"/>
    <col min="55" max="55" width="6" bestFit="1" customWidth="1"/>
    <col min="56" max="56" width="7.5546875" bestFit="1" customWidth="1"/>
    <col min="57" max="57" width="6" bestFit="1" customWidth="1"/>
    <col min="58" max="58" width="7.5546875" bestFit="1" customWidth="1"/>
    <col min="59" max="59" width="6" bestFit="1" customWidth="1"/>
    <col min="60" max="60" width="7.5546875" bestFit="1" customWidth="1"/>
    <col min="61" max="61" width="6" bestFit="1" customWidth="1"/>
    <col min="62" max="62" width="7.5546875" bestFit="1" customWidth="1"/>
    <col min="63" max="63" width="6" bestFit="1" customWidth="1"/>
    <col min="64" max="64" width="7.5546875" bestFit="1" customWidth="1"/>
    <col min="65" max="65" width="6" bestFit="1" customWidth="1"/>
    <col min="66" max="66" width="7.5546875" bestFit="1" customWidth="1"/>
    <col min="67" max="67" width="6" bestFit="1" customWidth="1"/>
    <col min="68" max="68" width="7.5546875" bestFit="1" customWidth="1"/>
    <col min="69" max="69" width="6" bestFit="1" customWidth="1"/>
    <col min="70" max="70" width="7.5546875" bestFit="1" customWidth="1"/>
    <col min="71" max="71" width="6" bestFit="1" customWidth="1"/>
    <col min="72" max="72" width="7.5546875" bestFit="1" customWidth="1"/>
    <col min="73" max="73" width="6" bestFit="1" customWidth="1"/>
    <col min="74" max="74" width="7.5546875" bestFit="1" customWidth="1"/>
    <col min="75" max="75" width="6" bestFit="1" customWidth="1"/>
    <col min="76" max="76" width="7.5546875" bestFit="1" customWidth="1"/>
    <col min="77" max="77" width="6" bestFit="1" customWidth="1"/>
    <col min="78" max="78" width="7.5546875" bestFit="1" customWidth="1"/>
    <col min="79" max="79" width="6" bestFit="1" customWidth="1"/>
    <col min="80" max="80" width="7.5546875" bestFit="1" customWidth="1"/>
    <col min="81" max="81" width="6" bestFit="1" customWidth="1"/>
    <col min="82" max="82" width="7.5546875" bestFit="1" customWidth="1"/>
    <col min="83" max="83" width="6" bestFit="1" customWidth="1"/>
    <col min="84" max="84" width="7.5546875" bestFit="1" customWidth="1"/>
    <col min="85" max="85" width="6" bestFit="1" customWidth="1"/>
    <col min="86" max="86" width="7.5546875" bestFit="1" customWidth="1"/>
    <col min="87" max="87" width="6" bestFit="1" customWidth="1"/>
    <col min="88" max="88" width="7.5546875" bestFit="1" customWidth="1"/>
    <col min="89" max="89" width="6" bestFit="1" customWidth="1"/>
    <col min="90" max="90" width="7.5546875" bestFit="1" customWidth="1"/>
    <col min="91" max="91" width="6" bestFit="1" customWidth="1"/>
    <col min="92" max="92" width="7.5546875" bestFit="1" customWidth="1"/>
    <col min="93" max="93" width="6" bestFit="1" customWidth="1"/>
    <col min="94" max="94" width="7.5546875" bestFit="1" customWidth="1"/>
    <col min="95" max="95" width="6" bestFit="1" customWidth="1"/>
    <col min="96" max="96" width="7.5546875" bestFit="1" customWidth="1"/>
    <col min="97" max="97" width="6" bestFit="1" customWidth="1"/>
    <col min="98" max="98" width="7.5546875" bestFit="1" customWidth="1"/>
    <col min="99" max="99" width="6" bestFit="1" customWidth="1"/>
    <col min="100" max="100" width="7.5546875" bestFit="1" customWidth="1"/>
    <col min="101" max="101" width="6" bestFit="1" customWidth="1"/>
    <col min="102" max="102" width="7.5546875" bestFit="1" customWidth="1"/>
    <col min="103" max="103" width="6" bestFit="1" customWidth="1"/>
    <col min="104" max="104" width="7.5546875" bestFit="1" customWidth="1"/>
    <col min="105" max="105" width="6" bestFit="1" customWidth="1"/>
    <col min="106" max="106" width="7.5546875" bestFit="1" customWidth="1"/>
    <col min="107" max="107" width="6" bestFit="1" customWidth="1"/>
    <col min="108" max="108" width="7.5546875" bestFit="1" customWidth="1"/>
    <col min="109" max="109" width="6" bestFit="1" customWidth="1"/>
    <col min="110" max="110" width="7.5546875" bestFit="1" customWidth="1"/>
    <col min="111" max="111" width="6" bestFit="1" customWidth="1"/>
    <col min="112" max="112" width="7.5546875" bestFit="1" customWidth="1"/>
    <col min="113" max="113" width="6" bestFit="1" customWidth="1"/>
  </cols>
  <sheetData>
    <row r="1" spans="1:113"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row>
    <row r="2" spans="1:113"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row>
    <row r="3" spans="1:113" ht="72" x14ac:dyDescent="0.3">
      <c r="A3" s="38" t="s">
        <v>505</v>
      </c>
      <c r="B3" s="39" t="s">
        <v>3</v>
      </c>
      <c r="C3" s="49" t="s">
        <v>180</v>
      </c>
      <c r="D3" s="49" t="s">
        <v>503</v>
      </c>
      <c r="E3" s="40" t="s">
        <v>419</v>
      </c>
      <c r="F3" s="51" t="s">
        <v>420</v>
      </c>
      <c r="G3" s="52" t="s">
        <v>421</v>
      </c>
      <c r="H3" s="38" t="s">
        <v>423</v>
      </c>
      <c r="I3" s="39" t="s">
        <v>540</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row>
    <row r="4" spans="1:113"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output'!$F$6</f>
        <v>27000</v>
      </c>
      <c r="I4" s="22">
        <f>_xlfn.XLOOKUP(A4,'Buffing DPR - ABS'!$A$4:$A$26,'Buffing DPR - ABS'!$F$4:$F$26)</f>
        <v>0</v>
      </c>
      <c r="J4" s="23">
        <f>I4-F4</f>
        <v>0</v>
      </c>
      <c r="K4" s="54">
        <f t="shared" ref="K4:K17" si="49">G4/H4</f>
        <v>8.0888888888888886</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row>
    <row r="5" spans="1:113" x14ac:dyDescent="0.3">
      <c r="A5" s="2" t="s">
        <v>11</v>
      </c>
      <c r="B5" s="3" t="s">
        <v>12</v>
      </c>
      <c r="C5" s="3" t="s">
        <v>156</v>
      </c>
      <c r="D5" s="3" t="s">
        <v>131</v>
      </c>
      <c r="E5" s="6">
        <f>SUMIF('Sunglasses BOM'!$D$1:$D$79,B5,'Sunglasses BOM'!$E$1:$E$79)</f>
        <v>100800</v>
      </c>
      <c r="F5" s="32" cm="1">
        <f t="array" ref="F5">SUMPRODUCT((MOD(COLUMN($M5:$FR5)-COLUMN($M5),2)=0)*($M5:$FR5))</f>
        <v>0</v>
      </c>
      <c r="G5" s="9">
        <f t="shared" ref="G5:G10" si="50">E5-F5</f>
        <v>100800</v>
      </c>
      <c r="H5" s="42">
        <f>'Final Processes daily output'!$F$6</f>
        <v>27000</v>
      </c>
      <c r="I5" s="22">
        <f>_xlfn.XLOOKUP(A5,'Buffing DPR - ABS'!$A$4:$A$26,'Buffing DPR - ABS'!$F$4:$F$26)</f>
        <v>0</v>
      </c>
      <c r="J5" s="23">
        <f t="shared" ref="J5:J26" si="51">I5-F5</f>
        <v>0</v>
      </c>
      <c r="K5" s="54">
        <f t="shared" si="49"/>
        <v>3.7333333333333334</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row>
    <row r="6" spans="1:113" x14ac:dyDescent="0.3">
      <c r="A6" s="2" t="s">
        <v>13</v>
      </c>
      <c r="B6" s="3" t="s">
        <v>14</v>
      </c>
      <c r="C6" s="3" t="s">
        <v>157</v>
      </c>
      <c r="D6" s="3" t="s">
        <v>116</v>
      </c>
      <c r="E6" s="6">
        <f>SUMIF('Sunglasses BOM'!$D$1:$D$79,B6,'Sunglasses BOM'!$E$1:$E$79)</f>
        <v>151200</v>
      </c>
      <c r="F6" s="32" cm="1">
        <f t="array" ref="F6">SUMPRODUCT((MOD(COLUMN($M6:$FR6)-COLUMN($M6),2)=0)*($M6:$FR6))</f>
        <v>0</v>
      </c>
      <c r="G6" s="9">
        <f t="shared" si="50"/>
        <v>151200</v>
      </c>
      <c r="H6" s="42">
        <f>'Final Processes daily output'!$F$6</f>
        <v>27000</v>
      </c>
      <c r="I6" s="22">
        <f>_xlfn.XLOOKUP(A6,'Buffing DPR - ABS'!$A$4:$A$26,'Buffing DPR - ABS'!$F$4:$F$26)</f>
        <v>0</v>
      </c>
      <c r="J6" s="23">
        <f t="shared" si="51"/>
        <v>0</v>
      </c>
      <c r="K6" s="54">
        <f t="shared" si="49"/>
        <v>5.6</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row>
    <row r="7" spans="1:113" x14ac:dyDescent="0.3">
      <c r="A7" s="2" t="s">
        <v>15</v>
      </c>
      <c r="B7" s="3" t="s">
        <v>16</v>
      </c>
      <c r="C7" s="3" t="s">
        <v>158</v>
      </c>
      <c r="D7" s="3" t="s">
        <v>132</v>
      </c>
      <c r="E7" s="6">
        <f>SUMIF('Sunglasses BOM'!$D$1:$D$79,B7,'Sunglasses BOM'!$E$1:$E$79)</f>
        <v>100800</v>
      </c>
      <c r="F7" s="32" cm="1">
        <f t="array" ref="F7">SUMPRODUCT((MOD(COLUMN($M7:$FR7)-COLUMN($M7),2)=0)*($M7:$FR7))</f>
        <v>0</v>
      </c>
      <c r="G7" s="9">
        <f t="shared" si="50"/>
        <v>100800</v>
      </c>
      <c r="H7" s="42">
        <f>'Final Processes daily output'!$F$6</f>
        <v>27000</v>
      </c>
      <c r="I7" s="22">
        <f>_xlfn.XLOOKUP(A7,'Buffing DPR - ABS'!$A$4:$A$26,'Buffing DPR - ABS'!$F$4:$F$26)</f>
        <v>0</v>
      </c>
      <c r="J7" s="23">
        <f t="shared" si="51"/>
        <v>0</v>
      </c>
      <c r="K7" s="54">
        <f t="shared" si="49"/>
        <v>3.7333333333333334</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row>
    <row r="8" spans="1:113" x14ac:dyDescent="0.3">
      <c r="A8" s="2" t="s">
        <v>17</v>
      </c>
      <c r="B8" s="3" t="s">
        <v>18</v>
      </c>
      <c r="C8" s="3" t="s">
        <v>159</v>
      </c>
      <c r="D8" s="3" t="s">
        <v>113</v>
      </c>
      <c r="E8" s="6">
        <f>SUMIF('Sunglasses BOM'!$D$1:$D$79,B8,'Sunglasses BOM'!$E$1:$E$79)</f>
        <v>134400</v>
      </c>
      <c r="F8" s="32" cm="1">
        <f t="array" ref="F8">SUMPRODUCT((MOD(COLUMN($M8:$FR8)-COLUMN($M8),2)=0)*($M8:$FR8))</f>
        <v>0</v>
      </c>
      <c r="G8" s="9">
        <f t="shared" si="50"/>
        <v>134400</v>
      </c>
      <c r="H8" s="42">
        <f>'Final Processes daily output'!$F$6</f>
        <v>27000</v>
      </c>
      <c r="I8" s="22">
        <f>_xlfn.XLOOKUP(A8,'Buffing DPR - ABS'!$A$4:$A$26,'Buffing DPR - ABS'!$F$4:$F$26)</f>
        <v>0</v>
      </c>
      <c r="J8" s="23">
        <f t="shared" si="51"/>
        <v>0</v>
      </c>
      <c r="K8" s="54">
        <f t="shared" si="49"/>
        <v>4.9777777777777779</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row>
    <row r="9" spans="1:113" x14ac:dyDescent="0.3">
      <c r="A9" s="2" t="s">
        <v>21</v>
      </c>
      <c r="B9" s="3" t="s">
        <v>22</v>
      </c>
      <c r="C9" s="3" t="s">
        <v>160</v>
      </c>
      <c r="D9" s="3" t="s">
        <v>112</v>
      </c>
      <c r="E9" s="6">
        <f>SUMIF('Sunglasses BOM'!$D$1:$D$79,B9,'Sunglasses BOM'!$E$1:$E$79)</f>
        <v>33600</v>
      </c>
      <c r="F9" s="32" cm="1">
        <f t="array" ref="F9">SUMPRODUCT((MOD(COLUMN($M9:$FR9)-COLUMN($M9),2)=0)*($M9:$FR9))</f>
        <v>0</v>
      </c>
      <c r="G9" s="9">
        <f t="shared" si="50"/>
        <v>33600</v>
      </c>
      <c r="H9" s="42">
        <f>'Final Processes daily output'!$F$6</f>
        <v>27000</v>
      </c>
      <c r="I9" s="22">
        <f>_xlfn.XLOOKUP(A9,'Buffing DPR - ABS'!$A$4:$A$26,'Buffing DPR - ABS'!$F$4:$F$26)</f>
        <v>0</v>
      </c>
      <c r="J9" s="23">
        <f t="shared" si="51"/>
        <v>0</v>
      </c>
      <c r="K9" s="54">
        <f t="shared" si="49"/>
        <v>1.2444444444444445</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row>
    <row r="10" spans="1:113" x14ac:dyDescent="0.3">
      <c r="A10" s="2" t="s">
        <v>23</v>
      </c>
      <c r="B10" s="3" t="s">
        <v>24</v>
      </c>
      <c r="C10" s="3" t="s">
        <v>160</v>
      </c>
      <c r="D10" s="3" t="s">
        <v>112</v>
      </c>
      <c r="E10" s="6">
        <f>SUMIF('Sunglasses BOM'!$D$1:$D$79,B10,'Sunglasses BOM'!$E$1:$E$79)</f>
        <v>16800</v>
      </c>
      <c r="F10" s="32" cm="1">
        <f t="array" ref="F10">SUMPRODUCT((MOD(COLUMN($M10:$FR10)-COLUMN($M10),2)=0)*($M10:$FR10))</f>
        <v>0</v>
      </c>
      <c r="G10" s="9">
        <f t="shared" si="50"/>
        <v>16800</v>
      </c>
      <c r="H10" s="42">
        <f>'Final Processes daily output'!$F$6</f>
        <v>27000</v>
      </c>
      <c r="I10" s="22">
        <f>_xlfn.XLOOKUP(A10,'Buffing DPR - ABS'!$A$4:$A$26,'Buffing DPR - ABS'!$F$4:$F$26)</f>
        <v>0</v>
      </c>
      <c r="J10" s="23">
        <f t="shared" si="51"/>
        <v>0</v>
      </c>
      <c r="K10" s="54">
        <f t="shared" si="49"/>
        <v>0.62222222222222223</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row>
    <row r="11" spans="1:113"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ref="G11:G17" si="52">E11-F11</f>
        <v>25200</v>
      </c>
      <c r="H11" s="42">
        <f>'Final Processes daily output'!$F$6</f>
        <v>27000</v>
      </c>
      <c r="I11" s="22">
        <f>_xlfn.XLOOKUP(A11,'Buffing DPR - ABS'!$A$4:$A$26,'Buffing DPR - ABS'!$F$4:$F$26)</f>
        <v>0</v>
      </c>
      <c r="J11" s="23">
        <f t="shared" si="51"/>
        <v>0</v>
      </c>
      <c r="K11" s="55">
        <f t="shared" si="49"/>
        <v>0.93333333333333335</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row>
    <row r="12" spans="1:113"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2"/>
        <v>8400</v>
      </c>
      <c r="H12" s="42">
        <f>'Final Processes daily output'!$F$6</f>
        <v>27000</v>
      </c>
      <c r="I12" s="22">
        <f>_xlfn.XLOOKUP(A12,'Buffing DPR - ABS'!$A$4:$A$26,'Buffing DPR - ABS'!$F$4:$F$26)</f>
        <v>0</v>
      </c>
      <c r="J12" s="23">
        <f t="shared" si="51"/>
        <v>0</v>
      </c>
      <c r="K12" s="55">
        <f t="shared" si="49"/>
        <v>0.31111111111111112</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row>
    <row r="13" spans="1:113"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2"/>
        <v>42000</v>
      </c>
      <c r="H13" s="42">
        <f>'Final Processes daily output'!$F$6</f>
        <v>27000</v>
      </c>
      <c r="I13" s="22">
        <f>_xlfn.XLOOKUP(A13,'Buffing DPR - ABS'!$A$4:$A$26,'Buffing DPR - ABS'!$F$4:$F$26)</f>
        <v>0</v>
      </c>
      <c r="J13" s="23">
        <f t="shared" si="51"/>
        <v>0</v>
      </c>
      <c r="K13" s="55">
        <f t="shared" si="49"/>
        <v>1.5555555555555556</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row>
    <row r="14" spans="1:113"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2"/>
        <v>25200</v>
      </c>
      <c r="H14" s="42">
        <f>'Final Processes daily output'!$F$6</f>
        <v>27000</v>
      </c>
      <c r="I14" s="22">
        <f>_xlfn.XLOOKUP(A14,'Buffing DPR - ABS'!$A$4:$A$26,'Buffing DPR - ABS'!$F$4:$F$26)</f>
        <v>0</v>
      </c>
      <c r="J14" s="23">
        <f t="shared" si="51"/>
        <v>0</v>
      </c>
      <c r="K14" s="55">
        <f t="shared" si="49"/>
        <v>0.93333333333333335</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row>
    <row r="15" spans="1:113"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2"/>
        <v>16800</v>
      </c>
      <c r="H15" s="42">
        <f>'Final Processes daily output'!$F$6</f>
        <v>27000</v>
      </c>
      <c r="I15" s="22">
        <f>_xlfn.XLOOKUP(A15,'Buffing DPR - ABS'!$A$4:$A$26,'Buffing DPR - ABS'!$F$4:$F$26)</f>
        <v>0</v>
      </c>
      <c r="J15" s="23">
        <f t="shared" si="51"/>
        <v>0</v>
      </c>
      <c r="K15" s="55">
        <f t="shared" si="49"/>
        <v>0.62222222222222223</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row>
    <row r="16" spans="1:113"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2"/>
        <v>16800</v>
      </c>
      <c r="H16" s="42">
        <f>'Final Processes daily output'!$F$6</f>
        <v>27000</v>
      </c>
      <c r="I16" s="22">
        <f>_xlfn.XLOOKUP(A16,'Buffing DPR - ABS'!$A$4:$A$26,'Buffing DPR - ABS'!$F$4:$F$26)</f>
        <v>0</v>
      </c>
      <c r="J16" s="23">
        <f t="shared" si="51"/>
        <v>0</v>
      </c>
      <c r="K16" s="55">
        <f t="shared" si="49"/>
        <v>0.62222222222222223</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row>
    <row r="17" spans="1:113"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2"/>
        <v>16800</v>
      </c>
      <c r="H17" s="42">
        <f>'Final Processes daily output'!$F$6</f>
        <v>27000</v>
      </c>
      <c r="I17" s="22">
        <f>_xlfn.XLOOKUP(A17,'Buffing DPR - ABS'!$A$4:$A$26,'Buffing DPR - ABS'!$F$4:$F$26)</f>
        <v>0</v>
      </c>
      <c r="J17" s="23">
        <f t="shared" si="51"/>
        <v>0</v>
      </c>
      <c r="K17" s="55">
        <f t="shared" si="49"/>
        <v>0.62222222222222223</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row>
    <row r="18" spans="1:113" x14ac:dyDescent="0.3">
      <c r="A18" s="2" t="s">
        <v>25</v>
      </c>
      <c r="B18" s="3" t="s">
        <v>26</v>
      </c>
      <c r="C18" s="3" t="s">
        <v>161</v>
      </c>
      <c r="D18" s="3" t="s">
        <v>114</v>
      </c>
      <c r="E18" s="6">
        <f>SUMIF('Sunglasses BOM'!$D$1:$D$79,B18,'Sunglasses BOM'!$E$1:$E$79)</f>
        <v>25200</v>
      </c>
      <c r="F18" s="2" cm="1">
        <f t="array" ref="F18">SUMPRODUCT((MOD(COLUMN($M18:$FR18)-COLUMN($M18),2)=0)*($M18:$FR18))</f>
        <v>0</v>
      </c>
      <c r="G18" s="9">
        <f t="shared" ref="G18:G26" si="53">E18-F18</f>
        <v>25200</v>
      </c>
      <c r="H18" s="42">
        <f>'Final Processes daily output'!$F$6</f>
        <v>27000</v>
      </c>
      <c r="I18" s="22">
        <f>_xlfn.XLOOKUP(A18,'Buffing DPR - ABS'!$A$4:$A$26,'Buffing DPR - ABS'!$F$4:$F$26)</f>
        <v>0</v>
      </c>
      <c r="J18" s="23">
        <f t="shared" si="51"/>
        <v>0</v>
      </c>
      <c r="K18" s="23">
        <f t="shared" ref="K18:K26" si="54">G18/H18</f>
        <v>0.93333333333333335</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6"/>
    </row>
    <row r="19" spans="1:113" ht="15" thickBot="1" x14ac:dyDescent="0.35">
      <c r="A19" s="2" t="s">
        <v>27</v>
      </c>
      <c r="B19" s="3" t="s">
        <v>28</v>
      </c>
      <c r="C19" s="3" t="s">
        <v>162</v>
      </c>
      <c r="D19" s="3" t="s">
        <v>115</v>
      </c>
      <c r="E19" s="6">
        <f>SUMIF('Sunglasses BOM'!$D$1:$D$79,B19,'Sunglasses BOM'!$E$1:$E$79)</f>
        <v>16800</v>
      </c>
      <c r="F19" s="2" cm="1">
        <f t="array" ref="F19">SUMPRODUCT((MOD(COLUMN($M19:$FR19)-COLUMN($M19),2)=0)*($M19:$FR19))</f>
        <v>0</v>
      </c>
      <c r="G19" s="9">
        <f t="shared" si="53"/>
        <v>16800</v>
      </c>
      <c r="H19" s="42">
        <f>'Final Processes daily output'!$F$6</f>
        <v>27000</v>
      </c>
      <c r="I19" s="22">
        <f>_xlfn.XLOOKUP(A19,'Buffing DPR - ABS'!$A$4:$A$26,'Buffing DPR - ABS'!$F$4:$F$26)</f>
        <v>0</v>
      </c>
      <c r="J19" s="23">
        <f t="shared" si="51"/>
        <v>0</v>
      </c>
      <c r="K19" s="23">
        <f t="shared" si="54"/>
        <v>0.62222222222222223</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7"/>
    </row>
    <row r="20" spans="1:113" ht="15" thickBot="1" x14ac:dyDescent="0.35">
      <c r="A20" s="2" t="s">
        <v>29</v>
      </c>
      <c r="B20" s="3" t="s">
        <v>30</v>
      </c>
      <c r="C20" s="3" t="s">
        <v>162</v>
      </c>
      <c r="D20" s="3" t="s">
        <v>115</v>
      </c>
      <c r="E20" s="6">
        <f>SUMIF('Sunglasses BOM'!$D$1:$D$79,B20,'Sunglasses BOM'!$E$1:$E$79)</f>
        <v>8400</v>
      </c>
      <c r="F20" s="2" cm="1">
        <f t="array" ref="F20">SUMPRODUCT((MOD(COLUMN($M20:$FR20)-COLUMN($M20),2)=0)*($M20:$FR20))</f>
        <v>0</v>
      </c>
      <c r="G20" s="9">
        <f t="shared" si="53"/>
        <v>8400</v>
      </c>
      <c r="H20" s="42">
        <f>'Final Processes daily output'!$F$6</f>
        <v>27000</v>
      </c>
      <c r="I20" s="22">
        <f>_xlfn.XLOOKUP(A20,'Buffing DPR - ABS'!$A$4:$A$26,'Buffing DPR - ABS'!$F$4:$F$26)</f>
        <v>0</v>
      </c>
      <c r="J20" s="23">
        <f t="shared" si="51"/>
        <v>0</v>
      </c>
      <c r="K20" s="23">
        <f t="shared" si="54"/>
        <v>0.31111111111111112</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7"/>
    </row>
    <row r="21" spans="1:113" ht="15" thickBot="1" x14ac:dyDescent="0.35">
      <c r="A21" s="2" t="s">
        <v>35</v>
      </c>
      <c r="B21" s="3" t="s">
        <v>36</v>
      </c>
      <c r="C21" s="3" t="s">
        <v>164</v>
      </c>
      <c r="D21" s="3" t="s">
        <v>117</v>
      </c>
      <c r="E21" s="6">
        <f>SUMIF('Sunglasses BOM'!$D$1:$D$79,B21,'Sunglasses BOM'!$E$1:$E$79)</f>
        <v>8400</v>
      </c>
      <c r="F21" s="2" cm="1">
        <f t="array" ref="F21">SUMPRODUCT((MOD(COLUMN($M21:$FR21)-COLUMN($M21),2)=0)*($M21:$FR21))</f>
        <v>0</v>
      </c>
      <c r="G21" s="9">
        <f t="shared" si="53"/>
        <v>8400</v>
      </c>
      <c r="H21" s="42">
        <f>'Final Processes daily output'!$F$6</f>
        <v>27000</v>
      </c>
      <c r="I21" s="22">
        <f>_xlfn.XLOOKUP(A21,'Buffing DPR - ABS'!$A$4:$A$26,'Buffing DPR - ABS'!$F$4:$F$26)</f>
        <v>0</v>
      </c>
      <c r="J21" s="23">
        <f t="shared" si="51"/>
        <v>0</v>
      </c>
      <c r="K21" s="23">
        <f t="shared" si="54"/>
        <v>0.31111111111111112</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7"/>
    </row>
    <row r="22" spans="1:113" ht="15" thickBot="1" x14ac:dyDescent="0.35">
      <c r="A22" s="2" t="s">
        <v>47</v>
      </c>
      <c r="B22" s="3" t="s">
        <v>48</v>
      </c>
      <c r="C22" s="3" t="s">
        <v>165</v>
      </c>
      <c r="D22" s="3" t="s">
        <v>127</v>
      </c>
      <c r="E22" s="6">
        <f>SUMIF('Sunglasses BOM'!$D$1:$D$79,B22,'Sunglasses BOM'!$E$1:$E$79)</f>
        <v>16800</v>
      </c>
      <c r="F22" s="2" cm="1">
        <f t="array" ref="F22">SUMPRODUCT((MOD(COLUMN($M22:$FR22)-COLUMN($M22),2)=0)*($M22:$FR22))</f>
        <v>0</v>
      </c>
      <c r="G22" s="9">
        <f t="shared" si="53"/>
        <v>16800</v>
      </c>
      <c r="H22" s="42">
        <f>'Final Processes daily output'!$F$6</f>
        <v>27000</v>
      </c>
      <c r="I22" s="22">
        <f>_xlfn.XLOOKUP(A22,'Buffing DPR - ABS'!$A$4:$A$26,'Buffing DPR - ABS'!$F$4:$F$26)</f>
        <v>0</v>
      </c>
      <c r="J22" s="23">
        <f t="shared" si="51"/>
        <v>0</v>
      </c>
      <c r="K22" s="23">
        <f t="shared" si="54"/>
        <v>0.62222222222222223</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7"/>
    </row>
    <row r="23" spans="1:113" ht="15" thickBot="1" x14ac:dyDescent="0.35">
      <c r="A23" s="2" t="s">
        <v>49</v>
      </c>
      <c r="B23" s="3" t="s">
        <v>50</v>
      </c>
      <c r="C23" s="3" t="s">
        <v>166</v>
      </c>
      <c r="D23" s="3" t="s">
        <v>128</v>
      </c>
      <c r="E23" s="6">
        <f>SUMIF('Sunglasses BOM'!$D$1:$D$79,B23,'Sunglasses BOM'!$E$1:$E$79)</f>
        <v>25200</v>
      </c>
      <c r="F23" s="2" cm="1">
        <f t="array" ref="F23">SUMPRODUCT((MOD(COLUMN($M23:$FR23)-COLUMN($M23),2)=0)*($M23:$FR23))</f>
        <v>0</v>
      </c>
      <c r="G23" s="9">
        <f t="shared" si="53"/>
        <v>25200</v>
      </c>
      <c r="H23" s="42">
        <f>'Final Processes daily output'!$F$6</f>
        <v>27000</v>
      </c>
      <c r="I23" s="22">
        <f>_xlfn.XLOOKUP(A23,'Buffing DPR - ABS'!$A$4:$A$26,'Buffing DPR - ABS'!$F$4:$F$26)</f>
        <v>0</v>
      </c>
      <c r="J23" s="23">
        <f t="shared" si="51"/>
        <v>0</v>
      </c>
      <c r="K23" s="23">
        <f t="shared" si="54"/>
        <v>0.93333333333333335</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7"/>
    </row>
    <row r="24" spans="1:113" ht="15" thickBot="1" x14ac:dyDescent="0.35">
      <c r="A24" s="2" t="s">
        <v>51</v>
      </c>
      <c r="B24" s="3" t="s">
        <v>52</v>
      </c>
      <c r="C24" s="3" t="s">
        <v>167</v>
      </c>
      <c r="D24" s="3" t="s">
        <v>129</v>
      </c>
      <c r="E24" s="6">
        <f>SUMIF('Sunglasses BOM'!$D$1:$D$79,B24,'Sunglasses BOM'!$E$1:$E$79)</f>
        <v>16800</v>
      </c>
      <c r="F24" s="2" cm="1">
        <f t="array" ref="F24">SUMPRODUCT((MOD(COLUMN($M24:$FR24)-COLUMN($M24),2)=0)*($M24:$FR24))</f>
        <v>0</v>
      </c>
      <c r="G24" s="9">
        <f t="shared" si="53"/>
        <v>16800</v>
      </c>
      <c r="H24" s="42">
        <f>'Final Processes daily output'!$F$6</f>
        <v>27000</v>
      </c>
      <c r="I24" s="22">
        <f>_xlfn.XLOOKUP(A24,'Buffing DPR - ABS'!$A$4:$A$26,'Buffing DPR - ABS'!$F$4:$F$26)</f>
        <v>0</v>
      </c>
      <c r="J24" s="23">
        <f t="shared" si="51"/>
        <v>0</v>
      </c>
      <c r="K24" s="23">
        <f t="shared" si="54"/>
        <v>0.62222222222222223</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7"/>
    </row>
    <row r="25" spans="1:113" ht="15" thickBot="1" x14ac:dyDescent="0.35">
      <c r="A25" s="2" t="s">
        <v>53</v>
      </c>
      <c r="B25" s="3" t="s">
        <v>54</v>
      </c>
      <c r="C25" s="3" t="s">
        <v>168</v>
      </c>
      <c r="D25" s="3" t="s">
        <v>130</v>
      </c>
      <c r="E25" s="6">
        <f>SUMIF('Sunglasses BOM'!$D$1:$D$79,B25,'Sunglasses BOM'!$E$1:$E$79)</f>
        <v>16800</v>
      </c>
      <c r="F25" s="2" cm="1">
        <f t="array" ref="F25">SUMPRODUCT((MOD(COLUMN($M25:$FR25)-COLUMN($M25),2)=0)*($M25:$FR25))</f>
        <v>0</v>
      </c>
      <c r="G25" s="9">
        <f t="shared" si="53"/>
        <v>16800</v>
      </c>
      <c r="H25" s="42">
        <f>'Final Processes daily output'!$F$6</f>
        <v>27000</v>
      </c>
      <c r="I25" s="22">
        <f>_xlfn.XLOOKUP(A25,'Buffing DPR - ABS'!$A$4:$A$26,'Buffing DPR - ABS'!$F$4:$F$26)</f>
        <v>0</v>
      </c>
      <c r="J25" s="23">
        <f t="shared" si="51"/>
        <v>0</v>
      </c>
      <c r="K25" s="23">
        <f t="shared" si="54"/>
        <v>0.62222222222222223</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7"/>
    </row>
    <row r="26" spans="1:113" ht="15" thickBot="1" x14ac:dyDescent="0.35">
      <c r="A26" s="4" t="s">
        <v>55</v>
      </c>
      <c r="B26" s="5" t="s">
        <v>56</v>
      </c>
      <c r="C26" s="5" t="s">
        <v>169</v>
      </c>
      <c r="D26" s="5" t="s">
        <v>123</v>
      </c>
      <c r="E26" s="6">
        <f>SUMIF('Sunglasses BOM'!$D$1:$D$79,B26,'Sunglasses BOM'!$E$1:$E$79)</f>
        <v>16800</v>
      </c>
      <c r="F26" s="4" cm="1">
        <f t="array" ref="F26">SUMPRODUCT((MOD(COLUMN($M26:$FR26)-COLUMN($M26),2)=0)*($M26:$FR26))</f>
        <v>0</v>
      </c>
      <c r="G26" s="10">
        <f t="shared" si="53"/>
        <v>16800</v>
      </c>
      <c r="H26" s="42">
        <f>'Final Processes daily output'!$F$6</f>
        <v>27000</v>
      </c>
      <c r="I26" s="22">
        <f>_xlfn.XLOOKUP(A26,'Buffing DPR - ABS'!$A$4:$A$26,'Buffing DPR - ABS'!$F$4:$F$26)</f>
        <v>0</v>
      </c>
      <c r="J26" s="23">
        <f t="shared" si="51"/>
        <v>0</v>
      </c>
      <c r="K26" s="25">
        <f t="shared" si="54"/>
        <v>0.62222222222222223</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7"/>
    </row>
  </sheetData>
  <mergeCells count="102">
    <mergeCell ref="P1:Q1"/>
    <mergeCell ref="R1:S1"/>
    <mergeCell ref="T1:U1"/>
    <mergeCell ref="V1:W1"/>
    <mergeCell ref="BH1:BI1"/>
    <mergeCell ref="L2:M2"/>
    <mergeCell ref="N2:O2"/>
    <mergeCell ref="P2:Q2"/>
    <mergeCell ref="R2:S2"/>
    <mergeCell ref="T2:U2"/>
    <mergeCell ref="V2:W2"/>
    <mergeCell ref="X2:Y2"/>
    <mergeCell ref="AN2:AO2"/>
    <mergeCell ref="AP2:AQ2"/>
    <mergeCell ref="AN1:AO1"/>
    <mergeCell ref="AP1:AQ1"/>
    <mergeCell ref="AR1:AS1"/>
    <mergeCell ref="AT1:AU1"/>
    <mergeCell ref="X1:Y1"/>
    <mergeCell ref="Z1:AA1"/>
    <mergeCell ref="AB1:AC1"/>
    <mergeCell ref="AD1:AE1"/>
    <mergeCell ref="AF1:AG1"/>
    <mergeCell ref="AH1:AI1"/>
    <mergeCell ref="AR2:AS2"/>
    <mergeCell ref="AT2:AU2"/>
    <mergeCell ref="L1:M1"/>
    <mergeCell ref="N1:O1"/>
    <mergeCell ref="BJ1:BK1"/>
    <mergeCell ref="BL1:BM1"/>
    <mergeCell ref="Z2:AA2"/>
    <mergeCell ref="AB2:AC2"/>
    <mergeCell ref="AD2:AE2"/>
    <mergeCell ref="AF2:AG2"/>
    <mergeCell ref="AH2:AI2"/>
    <mergeCell ref="AJ2:AK2"/>
    <mergeCell ref="AV1:AW1"/>
    <mergeCell ref="AX1:AY1"/>
    <mergeCell ref="AZ1:BA1"/>
    <mergeCell ref="BB1:BC1"/>
    <mergeCell ref="BD1:BE1"/>
    <mergeCell ref="BF1:BG1"/>
    <mergeCell ref="AJ1:AK1"/>
    <mergeCell ref="AL1:AM1"/>
    <mergeCell ref="AX2:AY2"/>
    <mergeCell ref="AZ2:BA2"/>
    <mergeCell ref="BB2:BC2"/>
    <mergeCell ref="BD2:BE2"/>
    <mergeCell ref="BF2:BG2"/>
    <mergeCell ref="BH2:BI2"/>
    <mergeCell ref="AL2:AM2"/>
    <mergeCell ref="AV2:AW2"/>
    <mergeCell ref="DD1:DE1"/>
    <mergeCell ref="DF1:DG1"/>
    <mergeCell ref="DH1:DI1"/>
    <mergeCell ref="CV1:CW1"/>
    <mergeCell ref="CX1:CY1"/>
    <mergeCell ref="CZ1:DA1"/>
    <mergeCell ref="DB1:DC1"/>
    <mergeCell ref="BN1:BO1"/>
    <mergeCell ref="BP1:BQ1"/>
    <mergeCell ref="BR1:BS1"/>
    <mergeCell ref="CR1:CS1"/>
    <mergeCell ref="CT1:CU1"/>
    <mergeCell ref="CF1:CG1"/>
    <mergeCell ref="CH1:CI1"/>
    <mergeCell ref="CJ1:CK1"/>
    <mergeCell ref="CL1:CM1"/>
    <mergeCell ref="CN1:CO1"/>
    <mergeCell ref="CP1:CQ1"/>
    <mergeCell ref="BT1:BU1"/>
    <mergeCell ref="BV1:BW1"/>
    <mergeCell ref="BX1:BY1"/>
    <mergeCell ref="BZ1:CA1"/>
    <mergeCell ref="CB1:CC1"/>
    <mergeCell ref="CD1:CE1"/>
    <mergeCell ref="BV2:BW2"/>
    <mergeCell ref="BX2:BY2"/>
    <mergeCell ref="BZ2:CA2"/>
    <mergeCell ref="CB2:CC2"/>
    <mergeCell ref="CD2:CE2"/>
    <mergeCell ref="CF2:CG2"/>
    <mergeCell ref="BJ2:BK2"/>
    <mergeCell ref="BL2:BM2"/>
    <mergeCell ref="BN2:BO2"/>
    <mergeCell ref="BP2:BQ2"/>
    <mergeCell ref="BR2:BS2"/>
    <mergeCell ref="BT2:BU2"/>
    <mergeCell ref="DF2:DG2"/>
    <mergeCell ref="DH2:DI2"/>
    <mergeCell ref="CT2:CU2"/>
    <mergeCell ref="CV2:CW2"/>
    <mergeCell ref="CX2:CY2"/>
    <mergeCell ref="CZ2:DA2"/>
    <mergeCell ref="DB2:DC2"/>
    <mergeCell ref="DD2:DE2"/>
    <mergeCell ref="CH2:CI2"/>
    <mergeCell ref="CJ2:CK2"/>
    <mergeCell ref="CL2:CM2"/>
    <mergeCell ref="CN2:CO2"/>
    <mergeCell ref="CP2:CQ2"/>
    <mergeCell ref="CR2:CS2"/>
  </mergeCells>
  <conditionalFormatting sqref="J4:J26">
    <cfRule type="cellIs" dxfId="21" priority="1" operator="lessThan">
      <formula>0</formula>
    </cfRule>
  </conditionalFormatting>
  <conditionalFormatting sqref="L2:DI2">
    <cfRule type="expression" dxfId="20" priority="12">
      <formula>SUM(L$4:L$17)&gt;$H$4</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F4FE-34E6-467F-8BD1-707E1BD3C428}">
  <dimension ref="A1:DN27"/>
  <sheetViews>
    <sheetView workbookViewId="0">
      <selection activeCell="P4" sqref="P4:P27"/>
    </sheetView>
  </sheetViews>
  <sheetFormatPr defaultRowHeight="14.4" x14ac:dyDescent="0.3"/>
  <cols>
    <col min="1" max="1" width="16.44140625" bestFit="1" customWidth="1"/>
    <col min="2" max="2" width="33.21875" bestFit="1" customWidth="1"/>
    <col min="3" max="3" width="13.5546875" bestFit="1" customWidth="1"/>
    <col min="4" max="4" width="11" bestFit="1" customWidth="1"/>
    <col min="5" max="5" width="14.44140625" bestFit="1" customWidth="1"/>
    <col min="6" max="6" width="11.88671875" bestFit="1" customWidth="1"/>
    <col min="7" max="7" width="10.21875" bestFit="1" customWidth="1"/>
    <col min="8" max="8" width="6.77734375" bestFit="1" customWidth="1"/>
    <col min="9" max="9" width="8.109375" bestFit="1" customWidth="1"/>
    <col min="10" max="10" width="7.44140625" bestFit="1" customWidth="1"/>
    <col min="11" max="11" width="7.77734375" bestFit="1" customWidth="1"/>
    <col min="12" max="13" width="8.33203125" bestFit="1" customWidth="1"/>
    <col min="16" max="16" width="8.5546875" bestFit="1" customWidth="1"/>
    <col min="17" max="17" width="7.5546875" bestFit="1" customWidth="1"/>
    <col min="18" max="18" width="6" bestFit="1" customWidth="1"/>
    <col min="19" max="19" width="7.5546875" bestFit="1" customWidth="1"/>
    <col min="20" max="20" width="6" bestFit="1" customWidth="1"/>
    <col min="21" max="21" width="7.5546875" bestFit="1" customWidth="1"/>
    <col min="22" max="22" width="6" bestFit="1" customWidth="1"/>
    <col min="23" max="23" width="7.5546875" bestFit="1" customWidth="1"/>
    <col min="24" max="24" width="6" bestFit="1" customWidth="1"/>
    <col min="25" max="25" width="7.5546875" bestFit="1" customWidth="1"/>
    <col min="26" max="26" width="6" bestFit="1" customWidth="1"/>
    <col min="27" max="27" width="7.5546875" bestFit="1" customWidth="1"/>
    <col min="28" max="28" width="6" bestFit="1" customWidth="1"/>
    <col min="29" max="29" width="7.5546875" bestFit="1" customWidth="1"/>
    <col min="30" max="30" width="6" bestFit="1" customWidth="1"/>
    <col min="31" max="31" width="7.5546875" bestFit="1" customWidth="1"/>
    <col min="32" max="32" width="6" bestFit="1" customWidth="1"/>
    <col min="33" max="33" width="7.5546875" bestFit="1" customWidth="1"/>
    <col min="34" max="34" width="6" bestFit="1" customWidth="1"/>
    <col min="35" max="35" width="7.5546875" bestFit="1" customWidth="1"/>
    <col min="36" max="36" width="6" bestFit="1" customWidth="1"/>
    <col min="37" max="37" width="7.5546875" bestFit="1" customWidth="1"/>
    <col min="38" max="38" width="6" bestFit="1" customWidth="1"/>
    <col min="39" max="39" width="7.5546875" bestFit="1" customWidth="1"/>
    <col min="40" max="40" width="6" bestFit="1" customWidth="1"/>
    <col min="41" max="41" width="7.5546875" bestFit="1" customWidth="1"/>
    <col min="42" max="42" width="6" bestFit="1" customWidth="1"/>
    <col min="43" max="43" width="7.5546875" bestFit="1" customWidth="1"/>
    <col min="44" max="44" width="6" bestFit="1" customWidth="1"/>
    <col min="45" max="45" width="7.5546875" bestFit="1" customWidth="1"/>
    <col min="46" max="46" width="6" bestFit="1" customWidth="1"/>
    <col min="47" max="47" width="7.5546875" bestFit="1" customWidth="1"/>
    <col min="48" max="48" width="6" bestFit="1" customWidth="1"/>
    <col min="49" max="49" width="7.5546875" bestFit="1" customWidth="1"/>
    <col min="50" max="50" width="6" bestFit="1" customWidth="1"/>
    <col min="51" max="51" width="7.5546875" bestFit="1" customWidth="1"/>
    <col min="52" max="52" width="6" bestFit="1" customWidth="1"/>
    <col min="53" max="53" width="7.5546875" bestFit="1" customWidth="1"/>
    <col min="54" max="54" width="6" bestFit="1" customWidth="1"/>
    <col min="55" max="55" width="7.5546875" bestFit="1" customWidth="1"/>
    <col min="56" max="56" width="6" bestFit="1" customWidth="1"/>
    <col min="57" max="57" width="7.5546875" bestFit="1" customWidth="1"/>
    <col min="58" max="58" width="6" bestFit="1" customWidth="1"/>
    <col min="59" max="59" width="7.5546875" bestFit="1" customWidth="1"/>
    <col min="60" max="60" width="6" bestFit="1" customWidth="1"/>
    <col min="61" max="61" width="7.5546875" bestFit="1" customWidth="1"/>
    <col min="62" max="62" width="6" bestFit="1" customWidth="1"/>
    <col min="63" max="63" width="7.5546875" bestFit="1" customWidth="1"/>
    <col min="64" max="64" width="6" bestFit="1" customWidth="1"/>
    <col min="65" max="65" width="7.5546875" bestFit="1" customWidth="1"/>
    <col min="66" max="66" width="6" bestFit="1" customWidth="1"/>
    <col min="67" max="67" width="7.5546875" bestFit="1" customWidth="1"/>
    <col min="68" max="68" width="6" bestFit="1" customWidth="1"/>
    <col min="69" max="69" width="7.5546875" bestFit="1" customWidth="1"/>
    <col min="70" max="70" width="6" bestFit="1" customWidth="1"/>
    <col min="71" max="71" width="7.5546875" bestFit="1" customWidth="1"/>
    <col min="72" max="72" width="6" bestFit="1" customWidth="1"/>
    <col min="73" max="73" width="7.5546875" bestFit="1" customWidth="1"/>
    <col min="74" max="74" width="6" bestFit="1" customWidth="1"/>
    <col min="75" max="75" width="7.5546875" bestFit="1" customWidth="1"/>
    <col min="76" max="76" width="6" bestFit="1" customWidth="1"/>
    <col min="77" max="77" width="7.5546875" bestFit="1" customWidth="1"/>
    <col min="78" max="78" width="6" bestFit="1" customWidth="1"/>
    <col min="79" max="79" width="7.5546875" bestFit="1" customWidth="1"/>
    <col min="80" max="80" width="6" bestFit="1" customWidth="1"/>
    <col min="81" max="81" width="7.5546875" bestFit="1" customWidth="1"/>
    <col min="82" max="82" width="6" bestFit="1" customWidth="1"/>
    <col min="83" max="83" width="7.5546875" bestFit="1" customWidth="1"/>
    <col min="84" max="84" width="6" bestFit="1" customWidth="1"/>
    <col min="85" max="85" width="7.5546875" bestFit="1" customWidth="1"/>
    <col min="86" max="86" width="6" bestFit="1" customWidth="1"/>
    <col min="87" max="87" width="7.5546875" bestFit="1" customWidth="1"/>
    <col min="88" max="88" width="6" bestFit="1" customWidth="1"/>
    <col min="89" max="89" width="7.5546875" bestFit="1" customWidth="1"/>
    <col min="90" max="90" width="6" bestFit="1" customWidth="1"/>
    <col min="91" max="91" width="7.5546875" bestFit="1" customWidth="1"/>
    <col min="92" max="92" width="6" bestFit="1" customWidth="1"/>
    <col min="93" max="93" width="7.5546875" bestFit="1" customWidth="1"/>
    <col min="94" max="94" width="6" bestFit="1" customWidth="1"/>
    <col min="95" max="95" width="7.5546875" bestFit="1" customWidth="1"/>
    <col min="96" max="96" width="6" bestFit="1" customWidth="1"/>
    <col min="97" max="97" width="7.5546875" bestFit="1" customWidth="1"/>
    <col min="98" max="98" width="6" bestFit="1" customWidth="1"/>
    <col min="99" max="99" width="7.5546875" bestFit="1" customWidth="1"/>
    <col min="100" max="100" width="6" bestFit="1" customWidth="1"/>
    <col min="101" max="101" width="7.5546875" bestFit="1" customWidth="1"/>
    <col min="102" max="102" width="6" bestFit="1" customWidth="1"/>
    <col min="103" max="103" width="7.5546875" bestFit="1" customWidth="1"/>
    <col min="104" max="104" width="6" bestFit="1" customWidth="1"/>
    <col min="105" max="105" width="7.5546875" bestFit="1" customWidth="1"/>
    <col min="106" max="106" width="6" bestFit="1" customWidth="1"/>
    <col min="107" max="107" width="7.5546875" bestFit="1" customWidth="1"/>
    <col min="108" max="108" width="6" bestFit="1" customWidth="1"/>
    <col min="109" max="109" width="7.5546875" bestFit="1" customWidth="1"/>
    <col min="110" max="110" width="6" bestFit="1" customWidth="1"/>
    <col min="111" max="111" width="7.5546875" bestFit="1" customWidth="1"/>
    <col min="112" max="112" width="6" bestFit="1" customWidth="1"/>
    <col min="113" max="113" width="7.5546875" bestFit="1" customWidth="1"/>
    <col min="114" max="114" width="6" bestFit="1" customWidth="1"/>
    <col min="115" max="115" width="7.5546875" bestFit="1" customWidth="1"/>
    <col min="116" max="116" width="6" bestFit="1" customWidth="1"/>
    <col min="117" max="117" width="7.5546875" bestFit="1" customWidth="1"/>
    <col min="118" max="118" width="6" bestFit="1" customWidth="1"/>
  </cols>
  <sheetData>
    <row r="1" spans="1:118" x14ac:dyDescent="0.3">
      <c r="A1" s="33" t="s">
        <v>418</v>
      </c>
      <c r="B1" s="34" t="s">
        <v>7</v>
      </c>
      <c r="C1" s="47"/>
      <c r="D1" s="47"/>
      <c r="E1" s="47"/>
      <c r="F1" s="47"/>
      <c r="G1" s="47"/>
      <c r="H1" s="48"/>
      <c r="I1" s="49"/>
      <c r="J1" s="49"/>
      <c r="K1" s="49"/>
      <c r="L1" s="50"/>
      <c r="M1" s="50"/>
      <c r="N1" s="50"/>
      <c r="O1" s="50"/>
      <c r="P1" s="34"/>
      <c r="Q1" s="106" t="s">
        <v>427</v>
      </c>
      <c r="R1" s="108"/>
      <c r="S1" s="106" t="s">
        <v>428</v>
      </c>
      <c r="T1" s="108"/>
      <c r="U1" s="106" t="s">
        <v>429</v>
      </c>
      <c r="V1" s="116"/>
      <c r="W1" s="106" t="s">
        <v>430</v>
      </c>
      <c r="X1" s="108"/>
      <c r="Y1" s="106" t="s">
        <v>431</v>
      </c>
      <c r="Z1" s="116"/>
      <c r="AA1" s="106" t="s">
        <v>432</v>
      </c>
      <c r="AB1" s="108"/>
      <c r="AC1" s="106" t="s">
        <v>433</v>
      </c>
      <c r="AD1" s="116"/>
      <c r="AE1" s="106" t="s">
        <v>434</v>
      </c>
      <c r="AF1" s="108"/>
      <c r="AG1" s="106" t="s">
        <v>435</v>
      </c>
      <c r="AH1" s="116"/>
      <c r="AI1" s="106" t="s">
        <v>436</v>
      </c>
      <c r="AJ1" s="108"/>
      <c r="AK1" s="106" t="s">
        <v>437</v>
      </c>
      <c r="AL1" s="116"/>
      <c r="AM1" s="106" t="s">
        <v>438</v>
      </c>
      <c r="AN1" s="108"/>
      <c r="AO1" s="106" t="s">
        <v>439</v>
      </c>
      <c r="AP1" s="116"/>
      <c r="AQ1" s="106" t="s">
        <v>440</v>
      </c>
      <c r="AR1" s="108"/>
      <c r="AS1" s="106" t="s">
        <v>441</v>
      </c>
      <c r="AT1" s="116"/>
      <c r="AU1" s="106" t="s">
        <v>442</v>
      </c>
      <c r="AV1" s="108"/>
      <c r="AW1" s="106" t="s">
        <v>443</v>
      </c>
      <c r="AX1" s="116"/>
      <c r="AY1" s="106" t="s">
        <v>444</v>
      </c>
      <c r="AZ1" s="108"/>
      <c r="BA1" s="106" t="s">
        <v>445</v>
      </c>
      <c r="BB1" s="116"/>
      <c r="BC1" s="106" t="s">
        <v>446</v>
      </c>
      <c r="BD1" s="108"/>
      <c r="BE1" s="106" t="s">
        <v>447</v>
      </c>
      <c r="BF1" s="116"/>
      <c r="BG1" s="106" t="s">
        <v>448</v>
      </c>
      <c r="BH1" s="108"/>
      <c r="BI1" s="106" t="s">
        <v>449</v>
      </c>
      <c r="BJ1" s="116"/>
      <c r="BK1" s="106" t="s">
        <v>450</v>
      </c>
      <c r="BL1" s="108"/>
      <c r="BM1" s="106" t="s">
        <v>451</v>
      </c>
      <c r="BN1" s="116"/>
      <c r="BO1" s="106" t="s">
        <v>452</v>
      </c>
      <c r="BP1" s="108"/>
      <c r="BQ1" s="106" t="s">
        <v>453</v>
      </c>
      <c r="BR1" s="116"/>
      <c r="BS1" s="106" t="s">
        <v>454</v>
      </c>
      <c r="BT1" s="108"/>
      <c r="BU1" s="106" t="s">
        <v>455</v>
      </c>
      <c r="BV1" s="116"/>
      <c r="BW1" s="106" t="s">
        <v>456</v>
      </c>
      <c r="BX1" s="108"/>
      <c r="BY1" s="106" t="s">
        <v>457</v>
      </c>
      <c r="BZ1" s="116"/>
      <c r="CA1" s="106" t="s">
        <v>458</v>
      </c>
      <c r="CB1" s="108"/>
      <c r="CC1" s="106" t="s">
        <v>459</v>
      </c>
      <c r="CD1" s="116"/>
      <c r="CE1" s="106" t="s">
        <v>460</v>
      </c>
      <c r="CF1" s="108"/>
      <c r="CG1" s="106" t="s">
        <v>461</v>
      </c>
      <c r="CH1" s="116"/>
      <c r="CI1" s="106" t="s">
        <v>462</v>
      </c>
      <c r="CJ1" s="108"/>
      <c r="CK1" s="106" t="s">
        <v>463</v>
      </c>
      <c r="CL1" s="116"/>
      <c r="CM1" s="106" t="s">
        <v>464</v>
      </c>
      <c r="CN1" s="108"/>
      <c r="CO1" s="106" t="s">
        <v>465</v>
      </c>
      <c r="CP1" s="116"/>
      <c r="CQ1" s="106" t="s">
        <v>466</v>
      </c>
      <c r="CR1" s="108"/>
      <c r="CS1" s="106" t="s">
        <v>467</v>
      </c>
      <c r="CT1" s="116"/>
      <c r="CU1" s="106" t="s">
        <v>468</v>
      </c>
      <c r="CV1" s="108"/>
      <c r="CW1" s="106" t="s">
        <v>469</v>
      </c>
      <c r="CX1" s="116"/>
      <c r="CY1" s="106" t="s">
        <v>470</v>
      </c>
      <c r="CZ1" s="108"/>
      <c r="DA1" s="106" t="s">
        <v>471</v>
      </c>
      <c r="DB1" s="116"/>
      <c r="DC1" s="106" t="s">
        <v>472</v>
      </c>
      <c r="DD1" s="108"/>
      <c r="DE1" s="106" t="s">
        <v>473</v>
      </c>
      <c r="DF1" s="116"/>
      <c r="DG1" s="106" t="s">
        <v>474</v>
      </c>
      <c r="DH1" s="108"/>
      <c r="DI1" s="106" t="s">
        <v>475</v>
      </c>
      <c r="DJ1" s="116"/>
      <c r="DK1" s="106" t="s">
        <v>476</v>
      </c>
      <c r="DL1" s="108"/>
      <c r="DM1" s="106" t="s">
        <v>477</v>
      </c>
      <c r="DN1" s="108"/>
    </row>
    <row r="2" spans="1:118" ht="15" thickBot="1" x14ac:dyDescent="0.35">
      <c r="A2" s="35"/>
      <c r="B2" s="36"/>
      <c r="C2" s="46"/>
      <c r="D2" s="46"/>
      <c r="E2" s="46"/>
      <c r="F2" s="46"/>
      <c r="G2" s="46"/>
      <c r="H2" s="37"/>
      <c r="I2" s="5"/>
      <c r="J2" s="5"/>
      <c r="K2" s="41"/>
      <c r="L2" s="11"/>
      <c r="M2" s="11"/>
      <c r="N2" s="11"/>
      <c r="O2" s="11"/>
      <c r="P2" s="7"/>
      <c r="Q2" s="115">
        <v>45967</v>
      </c>
      <c r="R2" s="111"/>
      <c r="S2" s="119">
        <f>WORKDAY.INTL(Q2,1,"0000001")</f>
        <v>45968</v>
      </c>
      <c r="T2" s="120"/>
      <c r="U2" s="119">
        <f t="shared" ref="U2" si="0">WORKDAY.INTL(S2,1,"0000001")</f>
        <v>45969</v>
      </c>
      <c r="V2" s="120"/>
      <c r="W2" s="119">
        <f t="shared" ref="W2" si="1">WORKDAY.INTL(U2,1,"0000001")</f>
        <v>45971</v>
      </c>
      <c r="X2" s="120"/>
      <c r="Y2" s="119">
        <f t="shared" ref="Y2" si="2">WORKDAY.INTL(W2,1,"0000001")</f>
        <v>45972</v>
      </c>
      <c r="Z2" s="120"/>
      <c r="AA2" s="119">
        <f t="shared" ref="AA2" si="3">WORKDAY.INTL(Y2,1,"0000001")</f>
        <v>45973</v>
      </c>
      <c r="AB2" s="120"/>
      <c r="AC2" s="119">
        <f t="shared" ref="AC2" si="4">WORKDAY.INTL(AA2,1,"0000001")</f>
        <v>45974</v>
      </c>
      <c r="AD2" s="120"/>
      <c r="AE2" s="119">
        <f t="shared" ref="AE2" si="5">WORKDAY.INTL(AC2,1,"0000001")</f>
        <v>45975</v>
      </c>
      <c r="AF2" s="120"/>
      <c r="AG2" s="119">
        <f t="shared" ref="AG2" si="6">WORKDAY.INTL(AE2,1,"0000001")</f>
        <v>45976</v>
      </c>
      <c r="AH2" s="120"/>
      <c r="AI2" s="119">
        <f t="shared" ref="AI2" si="7">WORKDAY.INTL(AG2,1,"0000001")</f>
        <v>45978</v>
      </c>
      <c r="AJ2" s="120"/>
      <c r="AK2" s="119">
        <f t="shared" ref="AK2" si="8">WORKDAY.INTL(AI2,1,"0000001")</f>
        <v>45979</v>
      </c>
      <c r="AL2" s="120"/>
      <c r="AM2" s="119">
        <f t="shared" ref="AM2" si="9">WORKDAY.INTL(AK2,1,"0000001")</f>
        <v>45980</v>
      </c>
      <c r="AN2" s="120"/>
      <c r="AO2" s="119">
        <f t="shared" ref="AO2" si="10">WORKDAY.INTL(AM2,1,"0000001")</f>
        <v>45981</v>
      </c>
      <c r="AP2" s="120"/>
      <c r="AQ2" s="119">
        <f t="shared" ref="AQ2" si="11">WORKDAY.INTL(AO2,1,"0000001")</f>
        <v>45982</v>
      </c>
      <c r="AR2" s="120"/>
      <c r="AS2" s="119">
        <f t="shared" ref="AS2" si="12">WORKDAY.INTL(AQ2,1,"0000001")</f>
        <v>45983</v>
      </c>
      <c r="AT2" s="120"/>
      <c r="AU2" s="119">
        <f t="shared" ref="AU2" si="13">WORKDAY.INTL(AS2,1,"0000001")</f>
        <v>45985</v>
      </c>
      <c r="AV2" s="120"/>
      <c r="AW2" s="119">
        <f t="shared" ref="AW2" si="14">WORKDAY.INTL(AU2,1,"0000001")</f>
        <v>45986</v>
      </c>
      <c r="AX2" s="120"/>
      <c r="AY2" s="119">
        <f t="shared" ref="AY2" si="15">WORKDAY.INTL(AW2,1,"0000001")</f>
        <v>45987</v>
      </c>
      <c r="AZ2" s="120"/>
      <c r="BA2" s="119">
        <f t="shared" ref="BA2" si="16">WORKDAY.INTL(AY2,1,"0000001")</f>
        <v>45988</v>
      </c>
      <c r="BB2" s="120"/>
      <c r="BC2" s="119">
        <f t="shared" ref="BC2" si="17">WORKDAY.INTL(BA2,1,"0000001")</f>
        <v>45989</v>
      </c>
      <c r="BD2" s="120"/>
      <c r="BE2" s="119">
        <f t="shared" ref="BE2" si="18">WORKDAY.INTL(BC2,1,"0000001")</f>
        <v>45990</v>
      </c>
      <c r="BF2" s="120"/>
      <c r="BG2" s="119">
        <f t="shared" ref="BG2" si="19">WORKDAY.INTL(BE2,1,"0000001")</f>
        <v>45992</v>
      </c>
      <c r="BH2" s="120"/>
      <c r="BI2" s="119">
        <f t="shared" ref="BI2" si="20">WORKDAY.INTL(BG2,1,"0000001")</f>
        <v>45993</v>
      </c>
      <c r="BJ2" s="120"/>
      <c r="BK2" s="119">
        <f t="shared" ref="BK2" si="21">WORKDAY.INTL(BI2,1,"0000001")</f>
        <v>45994</v>
      </c>
      <c r="BL2" s="120"/>
      <c r="BM2" s="119">
        <f t="shared" ref="BM2" si="22">WORKDAY.INTL(BK2,1,"0000001")</f>
        <v>45995</v>
      </c>
      <c r="BN2" s="120"/>
      <c r="BO2" s="119">
        <f t="shared" ref="BO2" si="23">WORKDAY.INTL(BM2,1,"0000001")</f>
        <v>45996</v>
      </c>
      <c r="BP2" s="120"/>
      <c r="BQ2" s="119">
        <f t="shared" ref="BQ2" si="24">WORKDAY.INTL(BO2,1,"0000001")</f>
        <v>45997</v>
      </c>
      <c r="BR2" s="120"/>
      <c r="BS2" s="119">
        <f t="shared" ref="BS2" si="25">WORKDAY.INTL(BQ2,1,"0000001")</f>
        <v>45999</v>
      </c>
      <c r="BT2" s="120"/>
      <c r="BU2" s="119">
        <f t="shared" ref="BU2" si="26">WORKDAY.INTL(BS2,1,"0000001")</f>
        <v>46000</v>
      </c>
      <c r="BV2" s="120"/>
      <c r="BW2" s="119">
        <f t="shared" ref="BW2" si="27">WORKDAY.INTL(BU2,1,"0000001")</f>
        <v>46001</v>
      </c>
      <c r="BX2" s="120"/>
      <c r="BY2" s="119">
        <f t="shared" ref="BY2" si="28">WORKDAY.INTL(BW2,1,"0000001")</f>
        <v>46002</v>
      </c>
      <c r="BZ2" s="120"/>
      <c r="CA2" s="119">
        <f t="shared" ref="CA2" si="29">WORKDAY.INTL(BY2,1,"0000001")</f>
        <v>46003</v>
      </c>
      <c r="CB2" s="120"/>
      <c r="CC2" s="119">
        <f t="shared" ref="CC2" si="30">WORKDAY.INTL(CA2,1,"0000001")</f>
        <v>46004</v>
      </c>
      <c r="CD2" s="120"/>
      <c r="CE2" s="119">
        <f t="shared" ref="CE2" si="31">WORKDAY.INTL(CC2,1,"0000001")</f>
        <v>46006</v>
      </c>
      <c r="CF2" s="120"/>
      <c r="CG2" s="119">
        <f t="shared" ref="CG2" si="32">WORKDAY.INTL(CE2,1,"0000001")</f>
        <v>46007</v>
      </c>
      <c r="CH2" s="120"/>
      <c r="CI2" s="119">
        <f t="shared" ref="CI2" si="33">WORKDAY.INTL(CG2,1,"0000001")</f>
        <v>46008</v>
      </c>
      <c r="CJ2" s="120"/>
      <c r="CK2" s="119">
        <f t="shared" ref="CK2" si="34">WORKDAY.INTL(CI2,1,"0000001")</f>
        <v>46009</v>
      </c>
      <c r="CL2" s="120"/>
      <c r="CM2" s="119">
        <f t="shared" ref="CM2" si="35">WORKDAY.INTL(CK2,1,"0000001")</f>
        <v>46010</v>
      </c>
      <c r="CN2" s="120"/>
      <c r="CO2" s="119">
        <f t="shared" ref="CO2" si="36">WORKDAY.INTL(CM2,1,"0000001")</f>
        <v>46011</v>
      </c>
      <c r="CP2" s="120"/>
      <c r="CQ2" s="119">
        <f t="shared" ref="CQ2" si="37">WORKDAY.INTL(CO2,1,"0000001")</f>
        <v>46013</v>
      </c>
      <c r="CR2" s="120"/>
      <c r="CS2" s="119">
        <f t="shared" ref="CS2" si="38">WORKDAY.INTL(CQ2,1,"0000001")</f>
        <v>46014</v>
      </c>
      <c r="CT2" s="120"/>
      <c r="CU2" s="119">
        <f t="shared" ref="CU2" si="39">WORKDAY.INTL(CS2,1,"0000001")</f>
        <v>46015</v>
      </c>
      <c r="CV2" s="120"/>
      <c r="CW2" s="119">
        <f t="shared" ref="CW2" si="40">WORKDAY.INTL(CU2,1,"0000001")</f>
        <v>46016</v>
      </c>
      <c r="CX2" s="120"/>
      <c r="CY2" s="119">
        <f t="shared" ref="CY2" si="41">WORKDAY.INTL(CW2,1,"0000001")</f>
        <v>46017</v>
      </c>
      <c r="CZ2" s="120"/>
      <c r="DA2" s="119">
        <f t="shared" ref="DA2" si="42">WORKDAY.INTL(CY2,1,"0000001")</f>
        <v>46018</v>
      </c>
      <c r="DB2" s="120"/>
      <c r="DC2" s="119">
        <f t="shared" ref="DC2" si="43">WORKDAY.INTL(DA2,1,"0000001")</f>
        <v>46020</v>
      </c>
      <c r="DD2" s="120"/>
      <c r="DE2" s="119">
        <f t="shared" ref="DE2" si="44">WORKDAY.INTL(DC2,1,"0000001")</f>
        <v>46021</v>
      </c>
      <c r="DF2" s="120"/>
      <c r="DG2" s="119">
        <f t="shared" ref="DG2" si="45">WORKDAY.INTL(DE2,1,"0000001")</f>
        <v>46022</v>
      </c>
      <c r="DH2" s="120"/>
      <c r="DI2" s="119">
        <f t="shared" ref="DI2" si="46">WORKDAY.INTL(DG2,1,"0000001")</f>
        <v>46023</v>
      </c>
      <c r="DJ2" s="120"/>
      <c r="DK2" s="119">
        <f t="shared" ref="DK2" si="47">WORKDAY.INTL(DI2,1,"0000001")</f>
        <v>46024</v>
      </c>
      <c r="DL2" s="120"/>
      <c r="DM2" s="119">
        <f t="shared" ref="DM2" si="48">WORKDAY.INTL(DK2,1,"0000001")</f>
        <v>46025</v>
      </c>
      <c r="DN2" s="120"/>
    </row>
    <row r="3" spans="1:118" ht="72" x14ac:dyDescent="0.3">
      <c r="A3" s="38" t="s">
        <v>505</v>
      </c>
      <c r="B3" s="39" t="s">
        <v>3</v>
      </c>
      <c r="C3" s="49" t="s">
        <v>180</v>
      </c>
      <c r="D3" s="49" t="s">
        <v>503</v>
      </c>
      <c r="E3" s="49" t="s">
        <v>179</v>
      </c>
      <c r="F3" s="49" t="s">
        <v>504</v>
      </c>
      <c r="G3" s="49" t="s">
        <v>119</v>
      </c>
      <c r="H3" s="40" t="s">
        <v>419</v>
      </c>
      <c r="I3" s="51" t="s">
        <v>420</v>
      </c>
      <c r="J3" s="52" t="s">
        <v>421</v>
      </c>
      <c r="K3" s="38" t="s">
        <v>423</v>
      </c>
      <c r="L3" s="39" t="s">
        <v>506</v>
      </c>
      <c r="M3" s="39" t="s">
        <v>507</v>
      </c>
      <c r="N3" s="39" t="s">
        <v>509</v>
      </c>
      <c r="O3" s="40" t="s">
        <v>508</v>
      </c>
      <c r="P3" s="53" t="s">
        <v>424</v>
      </c>
      <c r="Q3" s="30" t="s">
        <v>425</v>
      </c>
      <c r="R3" s="31" t="s">
        <v>426</v>
      </c>
      <c r="S3" s="30" t="s">
        <v>425</v>
      </c>
      <c r="T3" s="31" t="s">
        <v>426</v>
      </c>
      <c r="U3" s="30" t="s">
        <v>425</v>
      </c>
      <c r="V3" s="31" t="s">
        <v>426</v>
      </c>
      <c r="W3" s="30" t="s">
        <v>425</v>
      </c>
      <c r="X3" s="31" t="s">
        <v>426</v>
      </c>
      <c r="Y3" s="30" t="s">
        <v>425</v>
      </c>
      <c r="Z3" s="31" t="s">
        <v>426</v>
      </c>
      <c r="AA3" s="30" t="s">
        <v>425</v>
      </c>
      <c r="AB3" s="31" t="s">
        <v>426</v>
      </c>
      <c r="AC3" s="30" t="s">
        <v>425</v>
      </c>
      <c r="AD3" s="31" t="s">
        <v>426</v>
      </c>
      <c r="AE3" s="30" t="s">
        <v>425</v>
      </c>
      <c r="AF3" s="31" t="s">
        <v>426</v>
      </c>
      <c r="AG3" s="30" t="s">
        <v>425</v>
      </c>
      <c r="AH3" s="31" t="s">
        <v>426</v>
      </c>
      <c r="AI3" s="30" t="s">
        <v>425</v>
      </c>
      <c r="AJ3" s="31" t="s">
        <v>426</v>
      </c>
      <c r="AK3" s="30" t="s">
        <v>425</v>
      </c>
      <c r="AL3" s="31" t="s">
        <v>426</v>
      </c>
      <c r="AM3" s="30" t="s">
        <v>425</v>
      </c>
      <c r="AN3" s="31" t="s">
        <v>426</v>
      </c>
      <c r="AO3" s="30" t="s">
        <v>425</v>
      </c>
      <c r="AP3" s="31" t="s">
        <v>426</v>
      </c>
      <c r="AQ3" s="30" t="s">
        <v>425</v>
      </c>
      <c r="AR3" s="31" t="s">
        <v>426</v>
      </c>
      <c r="AS3" s="30" t="s">
        <v>425</v>
      </c>
      <c r="AT3" s="31" t="s">
        <v>426</v>
      </c>
      <c r="AU3" s="30" t="s">
        <v>425</v>
      </c>
      <c r="AV3" s="31" t="s">
        <v>426</v>
      </c>
      <c r="AW3" s="30" t="s">
        <v>425</v>
      </c>
      <c r="AX3" s="31" t="s">
        <v>426</v>
      </c>
      <c r="AY3" s="30" t="s">
        <v>425</v>
      </c>
      <c r="AZ3" s="31" t="s">
        <v>426</v>
      </c>
      <c r="BA3" s="30" t="s">
        <v>425</v>
      </c>
      <c r="BB3" s="31" t="s">
        <v>426</v>
      </c>
      <c r="BC3" s="30" t="s">
        <v>425</v>
      </c>
      <c r="BD3" s="31" t="s">
        <v>426</v>
      </c>
      <c r="BE3" s="30" t="s">
        <v>425</v>
      </c>
      <c r="BF3" s="31" t="s">
        <v>426</v>
      </c>
      <c r="BG3" s="30" t="s">
        <v>425</v>
      </c>
      <c r="BH3" s="31" t="s">
        <v>426</v>
      </c>
      <c r="BI3" s="30" t="s">
        <v>425</v>
      </c>
      <c r="BJ3" s="31" t="s">
        <v>426</v>
      </c>
      <c r="BK3" s="30" t="s">
        <v>425</v>
      </c>
      <c r="BL3" s="31" t="s">
        <v>426</v>
      </c>
      <c r="BM3" s="30" t="s">
        <v>425</v>
      </c>
      <c r="BN3" s="31" t="s">
        <v>426</v>
      </c>
      <c r="BO3" s="30" t="s">
        <v>425</v>
      </c>
      <c r="BP3" s="31" t="s">
        <v>426</v>
      </c>
      <c r="BQ3" s="30" t="s">
        <v>425</v>
      </c>
      <c r="BR3" s="31" t="s">
        <v>426</v>
      </c>
      <c r="BS3" s="30" t="s">
        <v>425</v>
      </c>
      <c r="BT3" s="31" t="s">
        <v>426</v>
      </c>
      <c r="BU3" s="30" t="s">
        <v>425</v>
      </c>
      <c r="BV3" s="31" t="s">
        <v>426</v>
      </c>
      <c r="BW3" s="30" t="s">
        <v>425</v>
      </c>
      <c r="BX3" s="31" t="s">
        <v>426</v>
      </c>
      <c r="BY3" s="30" t="s">
        <v>425</v>
      </c>
      <c r="BZ3" s="31" t="s">
        <v>426</v>
      </c>
      <c r="CA3" s="30" t="s">
        <v>425</v>
      </c>
      <c r="CB3" s="31" t="s">
        <v>426</v>
      </c>
      <c r="CC3" s="30" t="s">
        <v>425</v>
      </c>
      <c r="CD3" s="31" t="s">
        <v>426</v>
      </c>
      <c r="CE3" s="30" t="s">
        <v>425</v>
      </c>
      <c r="CF3" s="31" t="s">
        <v>426</v>
      </c>
      <c r="CG3" s="30" t="s">
        <v>425</v>
      </c>
      <c r="CH3" s="31" t="s">
        <v>426</v>
      </c>
      <c r="CI3" s="30" t="s">
        <v>425</v>
      </c>
      <c r="CJ3" s="31" t="s">
        <v>426</v>
      </c>
      <c r="CK3" s="30" t="s">
        <v>425</v>
      </c>
      <c r="CL3" s="31" t="s">
        <v>426</v>
      </c>
      <c r="CM3" s="30" t="s">
        <v>425</v>
      </c>
      <c r="CN3" s="31" t="s">
        <v>426</v>
      </c>
      <c r="CO3" s="30" t="s">
        <v>425</v>
      </c>
      <c r="CP3" s="31" t="s">
        <v>426</v>
      </c>
      <c r="CQ3" s="30" t="s">
        <v>425</v>
      </c>
      <c r="CR3" s="31" t="s">
        <v>426</v>
      </c>
      <c r="CS3" s="30" t="s">
        <v>425</v>
      </c>
      <c r="CT3" s="31" t="s">
        <v>426</v>
      </c>
      <c r="CU3" s="30" t="s">
        <v>425</v>
      </c>
      <c r="CV3" s="31" t="s">
        <v>426</v>
      </c>
      <c r="CW3" s="30" t="s">
        <v>425</v>
      </c>
      <c r="CX3" s="31" t="s">
        <v>426</v>
      </c>
      <c r="CY3" s="30" t="s">
        <v>425</v>
      </c>
      <c r="CZ3" s="31" t="s">
        <v>426</v>
      </c>
      <c r="DA3" s="30" t="s">
        <v>425</v>
      </c>
      <c r="DB3" s="31" t="s">
        <v>426</v>
      </c>
      <c r="DC3" s="30" t="s">
        <v>425</v>
      </c>
      <c r="DD3" s="31" t="s">
        <v>426</v>
      </c>
      <c r="DE3" s="30" t="s">
        <v>425</v>
      </c>
      <c r="DF3" s="31" t="s">
        <v>426</v>
      </c>
      <c r="DG3" s="30" t="s">
        <v>425</v>
      </c>
      <c r="DH3" s="31" t="s">
        <v>426</v>
      </c>
      <c r="DI3" s="30" t="s">
        <v>425</v>
      </c>
      <c r="DJ3" s="31" t="s">
        <v>426</v>
      </c>
      <c r="DK3" s="30" t="s">
        <v>425</v>
      </c>
      <c r="DL3" s="31" t="s">
        <v>426</v>
      </c>
      <c r="DM3" s="30" t="s">
        <v>425</v>
      </c>
      <c r="DN3" s="31" t="s">
        <v>426</v>
      </c>
    </row>
    <row r="4" spans="1:118" x14ac:dyDescent="0.3">
      <c r="A4" s="2" t="s">
        <v>58</v>
      </c>
      <c r="B4" s="3" t="s">
        <v>59</v>
      </c>
      <c r="C4" s="3" t="s">
        <v>170</v>
      </c>
      <c r="D4" s="3" t="s">
        <v>111</v>
      </c>
      <c r="E4" s="3" t="s">
        <v>170</v>
      </c>
      <c r="F4" s="3" t="s">
        <v>111</v>
      </c>
      <c r="G4" s="3"/>
      <c r="H4" s="6">
        <f>SUMIF('Sunglasses BOM'!C2:C79,A4,'Sunglasses BOM'!E2:E79)</f>
        <v>117600</v>
      </c>
      <c r="I4" s="32" cm="1">
        <f t="array" ref="I4">SUMPRODUCT((MOD(COLUMN($R4:$FW4)-COLUMN($R4),2)=0)*($R4:$FW4))</f>
        <v>0</v>
      </c>
      <c r="J4" s="9">
        <f>H4-I4</f>
        <v>117600</v>
      </c>
      <c r="K4" s="42">
        <f>'Final Processes daily output'!$F$9</f>
        <v>27000</v>
      </c>
      <c r="L4" s="22">
        <f>VLOOKUP(C4,'Molding PP DPR'!$A$4:$D$12,4,FALSE)</f>
        <v>0</v>
      </c>
      <c r="M4" s="22">
        <f>VLOOKUP(E4,'Molding PP DPR'!$A$18:$D$26,4,FALSE)</f>
        <v>0</v>
      </c>
      <c r="N4" s="22">
        <f>MIN(ROUNDDOWN(L4/'Pre assembly BOM'!E2,0),ROUNDDOWN(M4/'Pre assembly BOM'!H2,0))</f>
        <v>0</v>
      </c>
      <c r="O4" s="23">
        <f>N4-I4</f>
        <v>0</v>
      </c>
      <c r="P4" s="54">
        <f>J4/K4</f>
        <v>4.3555555555555552</v>
      </c>
      <c r="Q4" s="2"/>
      <c r="R4" s="6"/>
      <c r="S4" s="2"/>
      <c r="T4" s="6"/>
      <c r="U4" s="2"/>
      <c r="V4" s="6"/>
      <c r="W4" s="2"/>
      <c r="X4" s="6"/>
      <c r="Y4" s="2"/>
      <c r="Z4" s="6"/>
      <c r="AA4" s="2"/>
      <c r="AB4" s="6"/>
      <c r="AC4" s="2"/>
      <c r="AD4" s="6"/>
      <c r="AE4" s="2"/>
      <c r="AF4" s="6"/>
      <c r="AG4" s="2"/>
      <c r="AH4" s="6"/>
      <c r="AI4" s="2"/>
      <c r="AJ4" s="6"/>
      <c r="AK4" s="2"/>
      <c r="AL4" s="6"/>
      <c r="AM4" s="2"/>
      <c r="AN4" s="6"/>
      <c r="AO4" s="2"/>
      <c r="AP4" s="6"/>
      <c r="AQ4" s="2"/>
      <c r="AR4" s="6"/>
      <c r="AS4" s="2"/>
      <c r="AT4" s="6"/>
      <c r="AU4" s="2"/>
      <c r="AV4" s="6"/>
      <c r="AW4" s="2"/>
      <c r="AX4" s="6"/>
      <c r="AY4" s="2"/>
      <c r="AZ4" s="6"/>
      <c r="BA4" s="2"/>
      <c r="BB4" s="6"/>
      <c r="BC4" s="2"/>
      <c r="BD4" s="6"/>
      <c r="BE4" s="2"/>
      <c r="BF4" s="6"/>
      <c r="BG4" s="2"/>
      <c r="BH4" s="6"/>
      <c r="BI4" s="2"/>
      <c r="BJ4" s="6"/>
      <c r="BK4" s="2"/>
      <c r="BL4" s="6"/>
      <c r="BM4" s="2"/>
      <c r="BN4" s="6"/>
      <c r="BO4" s="2"/>
      <c r="BP4" s="6"/>
      <c r="BQ4" s="2"/>
      <c r="BR4" s="6"/>
      <c r="BS4" s="2"/>
      <c r="BT4" s="6"/>
      <c r="BU4" s="2"/>
      <c r="BV4" s="6"/>
      <c r="BW4" s="2"/>
      <c r="BX4" s="6"/>
      <c r="BY4" s="2"/>
      <c r="BZ4" s="6"/>
      <c r="CA4" s="2"/>
      <c r="CB4" s="6"/>
      <c r="CC4" s="2"/>
      <c r="CD4" s="6"/>
      <c r="CE4" s="2"/>
      <c r="CF4" s="6"/>
      <c r="CG4" s="2"/>
      <c r="CH4" s="6"/>
      <c r="CI4" s="2"/>
      <c r="CJ4" s="6"/>
      <c r="CK4" s="2"/>
      <c r="CL4" s="6"/>
      <c r="CM4" s="2"/>
      <c r="CN4" s="6"/>
      <c r="CO4" s="2"/>
      <c r="CP4" s="6"/>
      <c r="CQ4" s="2"/>
      <c r="CR4" s="6"/>
      <c r="CS4" s="2"/>
      <c r="CT4" s="6"/>
      <c r="CU4" s="2"/>
      <c r="CV4" s="6"/>
      <c r="CW4" s="2"/>
      <c r="CX4" s="6"/>
      <c r="CY4" s="2"/>
      <c r="CZ4" s="6"/>
      <c r="DA4" s="2"/>
      <c r="DB4" s="6"/>
      <c r="DC4" s="2"/>
      <c r="DD4" s="6"/>
      <c r="DE4" s="2"/>
      <c r="DF4" s="6"/>
      <c r="DG4" s="2"/>
      <c r="DH4" s="6"/>
      <c r="DI4" s="2"/>
      <c r="DJ4" s="6"/>
      <c r="DK4" s="2"/>
      <c r="DL4" s="6"/>
      <c r="DM4" s="2"/>
      <c r="DN4" s="6"/>
    </row>
    <row r="5" spans="1:118" x14ac:dyDescent="0.3">
      <c r="A5" s="2" t="s">
        <v>60</v>
      </c>
      <c r="B5" s="3" t="s">
        <v>61</v>
      </c>
      <c r="C5" s="3" t="s">
        <v>171</v>
      </c>
      <c r="D5" s="3" t="s">
        <v>112</v>
      </c>
      <c r="E5" s="3" t="s">
        <v>171</v>
      </c>
      <c r="F5" s="3" t="s">
        <v>112</v>
      </c>
      <c r="G5" s="3" t="s">
        <v>119</v>
      </c>
      <c r="H5" s="6">
        <f>SUMIF('Sunglasses BOM'!C3:C80,A5,'Sunglasses BOM'!E3:E80)</f>
        <v>58800</v>
      </c>
      <c r="I5" s="32" cm="1">
        <f t="array" ref="I5">SUMPRODUCT((MOD(COLUMN($R5:$FW5)-COLUMN($R5),2)=0)*($R5:$FW5))</f>
        <v>0</v>
      </c>
      <c r="J5" s="9">
        <f t="shared" ref="J5:J17" si="49">H5-I5</f>
        <v>58800</v>
      </c>
      <c r="K5" s="42">
        <f>'Final Processes daily output'!$F$9</f>
        <v>27000</v>
      </c>
      <c r="L5" s="22">
        <f>VLOOKUP(C5,'Molding PP DPR'!$A$4:$D$12,4,FALSE)</f>
        <v>0</v>
      </c>
      <c r="M5" s="22">
        <f>VLOOKUP(E5,'Molding PP DPR'!$A$18:$D$26,4,FALSE)</f>
        <v>0</v>
      </c>
      <c r="N5" s="22">
        <f>MIN(ROUNDDOWN(L5/'Pre assembly BOM'!E3,0),ROUNDDOWN(M5/'Pre assembly BOM'!H3,0))</f>
        <v>0</v>
      </c>
      <c r="O5" s="23">
        <f t="shared" ref="O5:O17" si="50">N5-I5</f>
        <v>0</v>
      </c>
      <c r="P5" s="54">
        <f t="shared" ref="P5:P17" si="51">J5/K5</f>
        <v>2.1777777777777776</v>
      </c>
      <c r="Q5" s="2"/>
      <c r="R5" s="6"/>
      <c r="S5" s="2"/>
      <c r="T5" s="6"/>
      <c r="U5" s="2"/>
      <c r="V5" s="6"/>
      <c r="W5" s="2"/>
      <c r="X5" s="6"/>
      <c r="Y5" s="2"/>
      <c r="Z5" s="6"/>
      <c r="AA5" s="2"/>
      <c r="AB5" s="6"/>
      <c r="AC5" s="2"/>
      <c r="AD5" s="6"/>
      <c r="AE5" s="2"/>
      <c r="AF5" s="6"/>
      <c r="AG5" s="2"/>
      <c r="AH5" s="6"/>
      <c r="AI5" s="2"/>
      <c r="AJ5" s="6"/>
      <c r="AK5" s="2"/>
      <c r="AL5" s="6"/>
      <c r="AM5" s="2"/>
      <c r="AN5" s="6"/>
      <c r="AO5" s="2"/>
      <c r="AP5" s="6"/>
      <c r="AQ5" s="2"/>
      <c r="AR5" s="6"/>
      <c r="AS5" s="2"/>
      <c r="AT5" s="6"/>
      <c r="AU5" s="2"/>
      <c r="AV5" s="6"/>
      <c r="AW5" s="2"/>
      <c r="AX5" s="6"/>
      <c r="AY5" s="2"/>
      <c r="AZ5" s="6"/>
      <c r="BA5" s="2"/>
      <c r="BB5" s="6"/>
      <c r="BC5" s="2"/>
      <c r="BD5" s="6"/>
      <c r="BE5" s="2"/>
      <c r="BF5" s="6"/>
      <c r="BG5" s="2"/>
      <c r="BH5" s="6"/>
      <c r="BI5" s="2"/>
      <c r="BJ5" s="6"/>
      <c r="BK5" s="2"/>
      <c r="BL5" s="6"/>
      <c r="BM5" s="2"/>
      <c r="BN5" s="6"/>
      <c r="BO5" s="2"/>
      <c r="BP5" s="6"/>
      <c r="BQ5" s="2"/>
      <c r="BR5" s="6"/>
      <c r="BS5" s="2"/>
      <c r="BT5" s="6"/>
      <c r="BU5" s="2"/>
      <c r="BV5" s="6"/>
      <c r="BW5" s="2"/>
      <c r="BX5" s="6"/>
      <c r="BY5" s="2"/>
      <c r="BZ5" s="6"/>
      <c r="CA5" s="2"/>
      <c r="CB5" s="6"/>
      <c r="CC5" s="2"/>
      <c r="CD5" s="6"/>
      <c r="CE5" s="2"/>
      <c r="CF5" s="6"/>
      <c r="CG5" s="2"/>
      <c r="CH5" s="6"/>
      <c r="CI5" s="2"/>
      <c r="CJ5" s="6"/>
      <c r="CK5" s="2"/>
      <c r="CL5" s="6"/>
      <c r="CM5" s="2"/>
      <c r="CN5" s="6"/>
      <c r="CO5" s="2"/>
      <c r="CP5" s="6"/>
      <c r="CQ5" s="2"/>
      <c r="CR5" s="6"/>
      <c r="CS5" s="2"/>
      <c r="CT5" s="6"/>
      <c r="CU5" s="2"/>
      <c r="CV5" s="6"/>
      <c r="CW5" s="2"/>
      <c r="CX5" s="6"/>
      <c r="CY5" s="2"/>
      <c r="CZ5" s="6"/>
      <c r="DA5" s="2"/>
      <c r="DB5" s="6"/>
      <c r="DC5" s="2"/>
      <c r="DD5" s="6"/>
      <c r="DE5" s="2"/>
      <c r="DF5" s="6"/>
      <c r="DG5" s="2"/>
      <c r="DH5" s="6"/>
      <c r="DI5" s="2"/>
      <c r="DJ5" s="6"/>
      <c r="DK5" s="2"/>
      <c r="DL5" s="6"/>
      <c r="DM5" s="2"/>
      <c r="DN5" s="6"/>
    </row>
    <row r="6" spans="1:118" x14ac:dyDescent="0.3">
      <c r="A6" s="2" t="s">
        <v>62</v>
      </c>
      <c r="B6" s="3" t="s">
        <v>63</v>
      </c>
      <c r="C6" s="3" t="s">
        <v>171</v>
      </c>
      <c r="D6" s="3" t="s">
        <v>112</v>
      </c>
      <c r="E6" s="3" t="s">
        <v>171</v>
      </c>
      <c r="F6" s="3" t="s">
        <v>112</v>
      </c>
      <c r="G6" s="3"/>
      <c r="H6" s="6">
        <f>SUMIF('Sunglasses BOM'!C4:C81,A6,'Sunglasses BOM'!E4:E81)</f>
        <v>50400</v>
      </c>
      <c r="I6" s="32" cm="1">
        <f t="array" ref="I6">SUMPRODUCT((MOD(COLUMN($R6:$FW6)-COLUMN($R6),2)=0)*($R6:$FW6))</f>
        <v>0</v>
      </c>
      <c r="J6" s="9">
        <f t="shared" si="49"/>
        <v>50400</v>
      </c>
      <c r="K6" s="42">
        <f>'Final Processes daily output'!$F$9</f>
        <v>27000</v>
      </c>
      <c r="L6" s="22">
        <f>VLOOKUP(C6,'Molding PP DPR'!$A$4:$D$12,4,FALSE)</f>
        <v>0</v>
      </c>
      <c r="M6" s="22">
        <f>VLOOKUP(E6,'Molding PP DPR'!$A$18:$D$26,4,FALSE)</f>
        <v>0</v>
      </c>
      <c r="N6" s="22">
        <f>MIN(ROUNDDOWN(L6/'Pre assembly BOM'!E4,0),ROUNDDOWN(M6/'Pre assembly BOM'!H4,0))</f>
        <v>0</v>
      </c>
      <c r="O6" s="23">
        <f t="shared" si="50"/>
        <v>0</v>
      </c>
      <c r="P6" s="54">
        <f t="shared" si="51"/>
        <v>1.8666666666666667</v>
      </c>
      <c r="Q6" s="2"/>
      <c r="R6" s="6"/>
      <c r="S6" s="2"/>
      <c r="T6" s="6"/>
      <c r="U6" s="2"/>
      <c r="V6" s="6"/>
      <c r="W6" s="2"/>
      <c r="X6" s="6"/>
      <c r="Y6" s="2"/>
      <c r="Z6" s="6"/>
      <c r="AA6" s="2"/>
      <c r="AB6" s="6"/>
      <c r="AC6" s="2"/>
      <c r="AD6" s="6"/>
      <c r="AE6" s="2"/>
      <c r="AF6" s="6"/>
      <c r="AG6" s="2"/>
      <c r="AH6" s="6"/>
      <c r="AI6" s="2"/>
      <c r="AJ6" s="6"/>
      <c r="AK6" s="2"/>
      <c r="AL6" s="6"/>
      <c r="AM6" s="2"/>
      <c r="AN6" s="6"/>
      <c r="AO6" s="2"/>
      <c r="AP6" s="6"/>
      <c r="AQ6" s="2"/>
      <c r="AR6" s="6"/>
      <c r="AS6" s="2"/>
      <c r="AT6" s="6"/>
      <c r="AU6" s="2"/>
      <c r="AV6" s="6"/>
      <c r="AW6" s="2"/>
      <c r="AX6" s="6"/>
      <c r="AY6" s="2"/>
      <c r="AZ6" s="6"/>
      <c r="BA6" s="2"/>
      <c r="BB6" s="6"/>
      <c r="BC6" s="2"/>
      <c r="BD6" s="6"/>
      <c r="BE6" s="2"/>
      <c r="BF6" s="6"/>
      <c r="BG6" s="2"/>
      <c r="BH6" s="6"/>
      <c r="BI6" s="2"/>
      <c r="BJ6" s="6"/>
      <c r="BK6" s="2"/>
      <c r="BL6" s="6"/>
      <c r="BM6" s="2"/>
      <c r="BN6" s="6"/>
      <c r="BO6" s="2"/>
      <c r="BP6" s="6"/>
      <c r="BQ6" s="2"/>
      <c r="BR6" s="6"/>
      <c r="BS6" s="2"/>
      <c r="BT6" s="6"/>
      <c r="BU6" s="2"/>
      <c r="BV6" s="6"/>
      <c r="BW6" s="2"/>
      <c r="BX6" s="6"/>
      <c r="BY6" s="2"/>
      <c r="BZ6" s="6"/>
      <c r="CA6" s="2"/>
      <c r="CB6" s="6"/>
      <c r="CC6" s="2"/>
      <c r="CD6" s="6"/>
      <c r="CE6" s="2"/>
      <c r="CF6" s="6"/>
      <c r="CG6" s="2"/>
      <c r="CH6" s="6"/>
      <c r="CI6" s="2"/>
      <c r="CJ6" s="6"/>
      <c r="CK6" s="2"/>
      <c r="CL6" s="6"/>
      <c r="CM6" s="2"/>
      <c r="CN6" s="6"/>
      <c r="CO6" s="2"/>
      <c r="CP6" s="6"/>
      <c r="CQ6" s="2"/>
      <c r="CR6" s="6"/>
      <c r="CS6" s="2"/>
      <c r="CT6" s="6"/>
      <c r="CU6" s="2"/>
      <c r="CV6" s="6"/>
      <c r="CW6" s="2"/>
      <c r="CX6" s="6"/>
      <c r="CY6" s="2"/>
      <c r="CZ6" s="6"/>
      <c r="DA6" s="2"/>
      <c r="DB6" s="6"/>
      <c r="DC6" s="2"/>
      <c r="DD6" s="6"/>
      <c r="DE6" s="2"/>
      <c r="DF6" s="6"/>
      <c r="DG6" s="2"/>
      <c r="DH6" s="6"/>
      <c r="DI6" s="2"/>
      <c r="DJ6" s="6"/>
      <c r="DK6" s="2"/>
      <c r="DL6" s="6"/>
      <c r="DM6" s="2"/>
      <c r="DN6" s="6"/>
    </row>
    <row r="7" spans="1:118" x14ac:dyDescent="0.3">
      <c r="A7" s="2" t="s">
        <v>64</v>
      </c>
      <c r="B7" s="3" t="s">
        <v>65</v>
      </c>
      <c r="C7" s="3" t="s">
        <v>172</v>
      </c>
      <c r="D7" s="3" t="s">
        <v>120</v>
      </c>
      <c r="E7" s="3" t="s">
        <v>172</v>
      </c>
      <c r="F7" s="3" t="s">
        <v>120</v>
      </c>
      <c r="G7" s="3" t="s">
        <v>119</v>
      </c>
      <c r="H7" s="6">
        <f>SUMIF('Sunglasses BOM'!C5:C82,A7,'Sunglasses BOM'!E5:E82)</f>
        <v>25200</v>
      </c>
      <c r="I7" s="32" cm="1">
        <f t="array" ref="I7">SUMPRODUCT((MOD(COLUMN($R7:$FW7)-COLUMN($R7),2)=0)*($R7:$FW7))</f>
        <v>0</v>
      </c>
      <c r="J7" s="9">
        <f t="shared" si="49"/>
        <v>25200</v>
      </c>
      <c r="K7" s="42">
        <f>'Final Processes daily output'!$F$9</f>
        <v>27000</v>
      </c>
      <c r="L7" s="22">
        <f>VLOOKUP(C7,'Molding PP DPR'!$A$4:$D$12,4,FALSE)</f>
        <v>0</v>
      </c>
      <c r="M7" s="22">
        <f>VLOOKUP(E7,'Molding PP DPR'!$A$18:$D$26,4,FALSE)</f>
        <v>0</v>
      </c>
      <c r="N7" s="22">
        <f>MIN(ROUNDDOWN(L7/'Pre assembly BOM'!E5,0),ROUNDDOWN(M7/'Pre assembly BOM'!H5,0))</f>
        <v>0</v>
      </c>
      <c r="O7" s="23">
        <f t="shared" si="50"/>
        <v>0</v>
      </c>
      <c r="P7" s="54">
        <f t="shared" si="51"/>
        <v>0.93333333333333335</v>
      </c>
      <c r="Q7" s="2"/>
      <c r="R7" s="6"/>
      <c r="S7" s="2"/>
      <c r="T7" s="6"/>
      <c r="U7" s="2"/>
      <c r="V7" s="6"/>
      <c r="W7" s="2"/>
      <c r="X7" s="6"/>
      <c r="Y7" s="2"/>
      <c r="Z7" s="6"/>
      <c r="AA7" s="2"/>
      <c r="AB7" s="6"/>
      <c r="AC7" s="2"/>
      <c r="AD7" s="6"/>
      <c r="AE7" s="2"/>
      <c r="AF7" s="6"/>
      <c r="AG7" s="2"/>
      <c r="AH7" s="6"/>
      <c r="AI7" s="2"/>
      <c r="AJ7" s="6"/>
      <c r="AK7" s="2"/>
      <c r="AL7" s="6"/>
      <c r="AM7" s="2"/>
      <c r="AN7" s="6"/>
      <c r="AO7" s="2"/>
      <c r="AP7" s="6"/>
      <c r="AQ7" s="2"/>
      <c r="AR7" s="6"/>
      <c r="AS7" s="2"/>
      <c r="AT7" s="6"/>
      <c r="AU7" s="2"/>
      <c r="AV7" s="6"/>
      <c r="AW7" s="2"/>
      <c r="AX7" s="6"/>
      <c r="AY7" s="2"/>
      <c r="AZ7" s="6"/>
      <c r="BA7" s="2"/>
      <c r="BB7" s="6"/>
      <c r="BC7" s="2"/>
      <c r="BD7" s="6"/>
      <c r="BE7" s="2"/>
      <c r="BF7" s="6"/>
      <c r="BG7" s="2"/>
      <c r="BH7" s="6"/>
      <c r="BI7" s="2"/>
      <c r="BJ7" s="6"/>
      <c r="BK7" s="2"/>
      <c r="BL7" s="6"/>
      <c r="BM7" s="2"/>
      <c r="BN7" s="6"/>
      <c r="BO7" s="2"/>
      <c r="BP7" s="6"/>
      <c r="BQ7" s="2"/>
      <c r="BR7" s="6"/>
      <c r="BS7" s="2"/>
      <c r="BT7" s="6"/>
      <c r="BU7" s="2"/>
      <c r="BV7" s="6"/>
      <c r="BW7" s="2"/>
      <c r="BX7" s="6"/>
      <c r="BY7" s="2"/>
      <c r="BZ7" s="6"/>
      <c r="CA7" s="2"/>
      <c r="CB7" s="6"/>
      <c r="CC7" s="2"/>
      <c r="CD7" s="6"/>
      <c r="CE7" s="2"/>
      <c r="CF7" s="6"/>
      <c r="CG7" s="2"/>
      <c r="CH7" s="6"/>
      <c r="CI7" s="2"/>
      <c r="CJ7" s="6"/>
      <c r="CK7" s="2"/>
      <c r="CL7" s="6"/>
      <c r="CM7" s="2"/>
      <c r="CN7" s="6"/>
      <c r="CO7" s="2"/>
      <c r="CP7" s="6"/>
      <c r="CQ7" s="2"/>
      <c r="CR7" s="6"/>
      <c r="CS7" s="2"/>
      <c r="CT7" s="6"/>
      <c r="CU7" s="2"/>
      <c r="CV7" s="6"/>
      <c r="CW7" s="2"/>
      <c r="CX7" s="6"/>
      <c r="CY7" s="2"/>
      <c r="CZ7" s="6"/>
      <c r="DA7" s="2"/>
      <c r="DB7" s="6"/>
      <c r="DC7" s="2"/>
      <c r="DD7" s="6"/>
      <c r="DE7" s="2"/>
      <c r="DF7" s="6"/>
      <c r="DG7" s="2"/>
      <c r="DH7" s="6"/>
      <c r="DI7" s="2"/>
      <c r="DJ7" s="6"/>
      <c r="DK7" s="2"/>
      <c r="DL7" s="6"/>
      <c r="DM7" s="2"/>
      <c r="DN7" s="6"/>
    </row>
    <row r="8" spans="1:118" x14ac:dyDescent="0.3">
      <c r="A8" s="2" t="s">
        <v>66</v>
      </c>
      <c r="B8" s="3" t="s">
        <v>67</v>
      </c>
      <c r="C8" s="3" t="s">
        <v>172</v>
      </c>
      <c r="D8" s="3" t="s">
        <v>120</v>
      </c>
      <c r="E8" s="3" t="s">
        <v>172</v>
      </c>
      <c r="F8" s="3" t="s">
        <v>120</v>
      </c>
      <c r="G8" s="3"/>
      <c r="H8" s="6">
        <f>SUMIF('Sunglasses BOM'!C6:C83,A8,'Sunglasses BOM'!E6:E83)</f>
        <v>25200</v>
      </c>
      <c r="I8" s="32" cm="1">
        <f t="array" ref="I8">SUMPRODUCT((MOD(COLUMN($R8:$FW8)-COLUMN($R8),2)=0)*($R8:$FW8))</f>
        <v>0</v>
      </c>
      <c r="J8" s="9">
        <f t="shared" si="49"/>
        <v>25200</v>
      </c>
      <c r="K8" s="42">
        <f>'Final Processes daily output'!$F$9</f>
        <v>27000</v>
      </c>
      <c r="L8" s="22">
        <f>VLOOKUP(C8,'Molding PP DPR'!$A$4:$D$12,4,FALSE)</f>
        <v>0</v>
      </c>
      <c r="M8" s="22">
        <f>VLOOKUP(E8,'Molding PP DPR'!$A$18:$D$26,4,FALSE)</f>
        <v>0</v>
      </c>
      <c r="N8" s="22">
        <f>MIN(ROUNDDOWN(L8/'Pre assembly BOM'!E6,0),ROUNDDOWN(M8/'Pre assembly BOM'!H6,0))</f>
        <v>0</v>
      </c>
      <c r="O8" s="23">
        <f t="shared" si="50"/>
        <v>0</v>
      </c>
      <c r="P8" s="54">
        <f t="shared" si="51"/>
        <v>0.93333333333333335</v>
      </c>
      <c r="Q8" s="2"/>
      <c r="R8" s="6"/>
      <c r="S8" s="2"/>
      <c r="T8" s="6"/>
      <c r="U8" s="2"/>
      <c r="V8" s="6"/>
      <c r="W8" s="2"/>
      <c r="X8" s="6"/>
      <c r="Y8" s="2"/>
      <c r="Z8" s="6"/>
      <c r="AA8" s="2"/>
      <c r="AB8" s="6"/>
      <c r="AC8" s="2"/>
      <c r="AD8" s="6"/>
      <c r="AE8" s="2"/>
      <c r="AF8" s="6"/>
      <c r="AG8" s="2"/>
      <c r="AH8" s="6"/>
      <c r="AI8" s="2"/>
      <c r="AJ8" s="6"/>
      <c r="AK8" s="2"/>
      <c r="AL8" s="6"/>
      <c r="AM8" s="2"/>
      <c r="AN8" s="6"/>
      <c r="AO8" s="2"/>
      <c r="AP8" s="6"/>
      <c r="AQ8" s="2"/>
      <c r="AR8" s="6"/>
      <c r="AS8" s="2"/>
      <c r="AT8" s="6"/>
      <c r="AU8" s="2"/>
      <c r="AV8" s="6"/>
      <c r="AW8" s="2"/>
      <c r="AX8" s="6"/>
      <c r="AY8" s="2"/>
      <c r="AZ8" s="6"/>
      <c r="BA8" s="2"/>
      <c r="BB8" s="6"/>
      <c r="BC8" s="2"/>
      <c r="BD8" s="6"/>
      <c r="BE8" s="2"/>
      <c r="BF8" s="6"/>
      <c r="BG8" s="2"/>
      <c r="BH8" s="6"/>
      <c r="BI8" s="2"/>
      <c r="BJ8" s="6"/>
      <c r="BK8" s="2"/>
      <c r="BL8" s="6"/>
      <c r="BM8" s="2"/>
      <c r="BN8" s="6"/>
      <c r="BO8" s="2"/>
      <c r="BP8" s="6"/>
      <c r="BQ8" s="2"/>
      <c r="BR8" s="6"/>
      <c r="BS8" s="2"/>
      <c r="BT8" s="6"/>
      <c r="BU8" s="2"/>
      <c r="BV8" s="6"/>
      <c r="BW8" s="2"/>
      <c r="BX8" s="6"/>
      <c r="BY8" s="2"/>
      <c r="BZ8" s="6"/>
      <c r="CA8" s="2"/>
      <c r="CB8" s="6"/>
      <c r="CC8" s="2"/>
      <c r="CD8" s="6"/>
      <c r="CE8" s="2"/>
      <c r="CF8" s="6"/>
      <c r="CG8" s="2"/>
      <c r="CH8" s="6"/>
      <c r="CI8" s="2"/>
      <c r="CJ8" s="6"/>
      <c r="CK8" s="2"/>
      <c r="CL8" s="6"/>
      <c r="CM8" s="2"/>
      <c r="CN8" s="6"/>
      <c r="CO8" s="2"/>
      <c r="CP8" s="6"/>
      <c r="CQ8" s="2"/>
      <c r="CR8" s="6"/>
      <c r="CS8" s="2"/>
      <c r="CT8" s="6"/>
      <c r="CU8" s="2"/>
      <c r="CV8" s="6"/>
      <c r="CW8" s="2"/>
      <c r="CX8" s="6"/>
      <c r="CY8" s="2"/>
      <c r="CZ8" s="6"/>
      <c r="DA8" s="2"/>
      <c r="DB8" s="6"/>
      <c r="DC8" s="2"/>
      <c r="DD8" s="6"/>
      <c r="DE8" s="2"/>
      <c r="DF8" s="6"/>
      <c r="DG8" s="2"/>
      <c r="DH8" s="6"/>
      <c r="DI8" s="2"/>
      <c r="DJ8" s="6"/>
      <c r="DK8" s="2"/>
      <c r="DL8" s="6"/>
      <c r="DM8" s="2"/>
      <c r="DN8" s="6"/>
    </row>
    <row r="9" spans="1:118" x14ac:dyDescent="0.3">
      <c r="A9" s="2" t="s">
        <v>68</v>
      </c>
      <c r="B9" s="3" t="s">
        <v>69</v>
      </c>
      <c r="C9" s="3" t="s">
        <v>173</v>
      </c>
      <c r="D9" s="3" t="s">
        <v>116</v>
      </c>
      <c r="E9" s="3" t="s">
        <v>173</v>
      </c>
      <c r="F9" s="3" t="s">
        <v>116</v>
      </c>
      <c r="G9" s="3" t="s">
        <v>119</v>
      </c>
      <c r="H9" s="6">
        <f>SUMIF('Sunglasses BOM'!C7:C84,A9,'Sunglasses BOM'!E7:E84)</f>
        <v>42000</v>
      </c>
      <c r="I9" s="32" cm="1">
        <f t="array" ref="I9">SUMPRODUCT((MOD(COLUMN($R9:$FW9)-COLUMN($R9),2)=0)*($R9:$FW9))</f>
        <v>0</v>
      </c>
      <c r="J9" s="9">
        <f t="shared" si="49"/>
        <v>42000</v>
      </c>
      <c r="K9" s="42">
        <f>'Final Processes daily output'!$F$9</f>
        <v>27000</v>
      </c>
      <c r="L9" s="22">
        <f>VLOOKUP(C9,'Molding PP DPR'!$A$4:$D$12,4,FALSE)</f>
        <v>0</v>
      </c>
      <c r="M9" s="22">
        <f>VLOOKUP(E9,'Molding PP DPR'!$A$18:$D$26,4,FALSE)</f>
        <v>0</v>
      </c>
      <c r="N9" s="22">
        <f>MIN(ROUNDDOWN(L9/'Pre assembly BOM'!E7,0),ROUNDDOWN(M9/'Pre assembly BOM'!H7,0))</f>
        <v>0</v>
      </c>
      <c r="O9" s="23">
        <f t="shared" si="50"/>
        <v>0</v>
      </c>
      <c r="P9" s="54">
        <f t="shared" si="51"/>
        <v>1.5555555555555556</v>
      </c>
      <c r="Q9" s="2"/>
      <c r="R9" s="6"/>
      <c r="S9" s="2"/>
      <c r="T9" s="6"/>
      <c r="U9" s="2"/>
      <c r="V9" s="6"/>
      <c r="W9" s="2"/>
      <c r="X9" s="6"/>
      <c r="Y9" s="2"/>
      <c r="Z9" s="6"/>
      <c r="AA9" s="2"/>
      <c r="AB9" s="6"/>
      <c r="AC9" s="2"/>
      <c r="AD9" s="6"/>
      <c r="AE9" s="2"/>
      <c r="AF9" s="6"/>
      <c r="AG9" s="2"/>
      <c r="AH9" s="6"/>
      <c r="AI9" s="2"/>
      <c r="AJ9" s="6"/>
      <c r="AK9" s="2"/>
      <c r="AL9" s="6"/>
      <c r="AM9" s="2"/>
      <c r="AN9" s="6"/>
      <c r="AO9" s="2"/>
      <c r="AP9" s="6"/>
      <c r="AQ9" s="2"/>
      <c r="AR9" s="6"/>
      <c r="AS9" s="2"/>
      <c r="AT9" s="6"/>
      <c r="AU9" s="2"/>
      <c r="AV9" s="6"/>
      <c r="AW9" s="2"/>
      <c r="AX9" s="6"/>
      <c r="AY9" s="2"/>
      <c r="AZ9" s="6"/>
      <c r="BA9" s="2"/>
      <c r="BB9" s="6"/>
      <c r="BC9" s="2"/>
      <c r="BD9" s="6"/>
      <c r="BE9" s="2"/>
      <c r="BF9" s="6"/>
      <c r="BG9" s="2"/>
      <c r="BH9" s="6"/>
      <c r="BI9" s="2"/>
      <c r="BJ9" s="6"/>
      <c r="BK9" s="2"/>
      <c r="BL9" s="6"/>
      <c r="BM9" s="2"/>
      <c r="BN9" s="6"/>
      <c r="BO9" s="2"/>
      <c r="BP9" s="6"/>
      <c r="BQ9" s="2"/>
      <c r="BR9" s="6"/>
      <c r="BS9" s="2"/>
      <c r="BT9" s="6"/>
      <c r="BU9" s="2"/>
      <c r="BV9" s="6"/>
      <c r="BW9" s="2"/>
      <c r="BX9" s="6"/>
      <c r="BY9" s="2"/>
      <c r="BZ9" s="6"/>
      <c r="CA9" s="2"/>
      <c r="CB9" s="6"/>
      <c r="CC9" s="2"/>
      <c r="CD9" s="6"/>
      <c r="CE9" s="2"/>
      <c r="CF9" s="6"/>
      <c r="CG9" s="2"/>
      <c r="CH9" s="6"/>
      <c r="CI9" s="2"/>
      <c r="CJ9" s="6"/>
      <c r="CK9" s="2"/>
      <c r="CL9" s="6"/>
      <c r="CM9" s="2"/>
      <c r="CN9" s="6"/>
      <c r="CO9" s="2"/>
      <c r="CP9" s="6"/>
      <c r="CQ9" s="2"/>
      <c r="CR9" s="6"/>
      <c r="CS9" s="2"/>
      <c r="CT9" s="6"/>
      <c r="CU9" s="2"/>
      <c r="CV9" s="6"/>
      <c r="CW9" s="2"/>
      <c r="CX9" s="6"/>
      <c r="CY9" s="2"/>
      <c r="CZ9" s="6"/>
      <c r="DA9" s="2"/>
      <c r="DB9" s="6"/>
      <c r="DC9" s="2"/>
      <c r="DD9" s="6"/>
      <c r="DE9" s="2"/>
      <c r="DF9" s="6"/>
      <c r="DG9" s="2"/>
      <c r="DH9" s="6"/>
      <c r="DI9" s="2"/>
      <c r="DJ9" s="6"/>
      <c r="DK9" s="2"/>
      <c r="DL9" s="6"/>
      <c r="DM9" s="2"/>
      <c r="DN9" s="6"/>
    </row>
    <row r="10" spans="1:118" x14ac:dyDescent="0.3">
      <c r="A10" s="2" t="s">
        <v>70</v>
      </c>
      <c r="B10" s="3" t="s">
        <v>71</v>
      </c>
      <c r="C10" s="3" t="s">
        <v>173</v>
      </c>
      <c r="D10" s="3" t="s">
        <v>116</v>
      </c>
      <c r="E10" s="3" t="s">
        <v>173</v>
      </c>
      <c r="F10" s="3" t="s">
        <v>116</v>
      </c>
      <c r="G10" s="3"/>
      <c r="H10" s="6">
        <f>SUMIF('Sunglasses BOM'!C8:C85,A10,'Sunglasses BOM'!E8:E85)</f>
        <v>42000</v>
      </c>
      <c r="I10" s="32" cm="1">
        <f t="array" ref="I10">SUMPRODUCT((MOD(COLUMN($R10:$FW10)-COLUMN($R10),2)=0)*($R10:$FW10))</f>
        <v>0</v>
      </c>
      <c r="J10" s="9">
        <f t="shared" si="49"/>
        <v>42000</v>
      </c>
      <c r="K10" s="42">
        <f>'Final Processes daily output'!$F$9</f>
        <v>27000</v>
      </c>
      <c r="L10" s="22">
        <f>VLOOKUP(C10,'Molding PP DPR'!$A$4:$D$12,4,FALSE)</f>
        <v>0</v>
      </c>
      <c r="M10" s="22">
        <f>VLOOKUP(E10,'Molding PP DPR'!$A$18:$D$26,4,FALSE)</f>
        <v>0</v>
      </c>
      <c r="N10" s="22">
        <f>MIN(ROUNDDOWN(L10/'Pre assembly BOM'!E8,0),ROUNDDOWN(M10/'Pre assembly BOM'!H8,0))</f>
        <v>0</v>
      </c>
      <c r="O10" s="23">
        <f t="shared" si="50"/>
        <v>0</v>
      </c>
      <c r="P10" s="54">
        <f t="shared" si="51"/>
        <v>1.5555555555555556</v>
      </c>
      <c r="Q10" s="2"/>
      <c r="R10" s="6"/>
      <c r="S10" s="2"/>
      <c r="T10" s="6"/>
      <c r="U10" s="2"/>
      <c r="V10" s="6"/>
      <c r="W10" s="2"/>
      <c r="X10" s="6"/>
      <c r="Y10" s="2"/>
      <c r="Z10" s="6"/>
      <c r="AA10" s="2"/>
      <c r="AB10" s="6"/>
      <c r="AC10" s="2"/>
      <c r="AD10" s="6"/>
      <c r="AE10" s="2"/>
      <c r="AF10" s="6"/>
      <c r="AG10" s="2"/>
      <c r="AH10" s="6"/>
      <c r="AI10" s="2"/>
      <c r="AJ10" s="6"/>
      <c r="AK10" s="2"/>
      <c r="AL10" s="6"/>
      <c r="AM10" s="2"/>
      <c r="AN10" s="6"/>
      <c r="AO10" s="2"/>
      <c r="AP10" s="6"/>
      <c r="AQ10" s="2"/>
      <c r="AR10" s="6"/>
      <c r="AS10" s="2"/>
      <c r="AT10" s="6"/>
      <c r="AU10" s="2"/>
      <c r="AV10" s="6"/>
      <c r="AW10" s="2"/>
      <c r="AX10" s="6"/>
      <c r="AY10" s="2"/>
      <c r="AZ10" s="6"/>
      <c r="BA10" s="2"/>
      <c r="BB10" s="6"/>
      <c r="BC10" s="2"/>
      <c r="BD10" s="6"/>
      <c r="BE10" s="2"/>
      <c r="BF10" s="6"/>
      <c r="BG10" s="2"/>
      <c r="BH10" s="6"/>
      <c r="BI10" s="2"/>
      <c r="BJ10" s="6"/>
      <c r="BK10" s="2"/>
      <c r="BL10" s="6"/>
      <c r="BM10" s="2"/>
      <c r="BN10" s="6"/>
      <c r="BO10" s="2"/>
      <c r="BP10" s="6"/>
      <c r="BQ10" s="2"/>
      <c r="BR10" s="6"/>
      <c r="BS10" s="2"/>
      <c r="BT10" s="6"/>
      <c r="BU10" s="2"/>
      <c r="BV10" s="6"/>
      <c r="BW10" s="2"/>
      <c r="BX10" s="6"/>
      <c r="BY10" s="2"/>
      <c r="BZ10" s="6"/>
      <c r="CA10" s="2"/>
      <c r="CB10" s="6"/>
      <c r="CC10" s="2"/>
      <c r="CD10" s="6"/>
      <c r="CE10" s="2"/>
      <c r="CF10" s="6"/>
      <c r="CG10" s="2"/>
      <c r="CH10" s="6"/>
      <c r="CI10" s="2"/>
      <c r="CJ10" s="6"/>
      <c r="CK10" s="2"/>
      <c r="CL10" s="6"/>
      <c r="CM10" s="2"/>
      <c r="CN10" s="6"/>
      <c r="CO10" s="2"/>
      <c r="CP10" s="6"/>
      <c r="CQ10" s="2"/>
      <c r="CR10" s="6"/>
      <c r="CS10" s="2"/>
      <c r="CT10" s="6"/>
      <c r="CU10" s="2"/>
      <c r="CV10" s="6"/>
      <c r="CW10" s="2"/>
      <c r="CX10" s="6"/>
      <c r="CY10" s="2"/>
      <c r="CZ10" s="6"/>
      <c r="DA10" s="2"/>
      <c r="DB10" s="6"/>
      <c r="DC10" s="2"/>
      <c r="DD10" s="6"/>
      <c r="DE10" s="2"/>
      <c r="DF10" s="6"/>
      <c r="DG10" s="2"/>
      <c r="DH10" s="6"/>
      <c r="DI10" s="2"/>
      <c r="DJ10" s="6"/>
      <c r="DK10" s="2"/>
      <c r="DL10" s="6"/>
      <c r="DM10" s="2"/>
      <c r="DN10" s="6"/>
    </row>
    <row r="11" spans="1:118" ht="15" thickBot="1" x14ac:dyDescent="0.35">
      <c r="A11" s="2" t="s">
        <v>72</v>
      </c>
      <c r="B11" s="3" t="s">
        <v>73</v>
      </c>
      <c r="C11" s="3" t="s">
        <v>113</v>
      </c>
      <c r="D11" s="3" t="s">
        <v>113</v>
      </c>
      <c r="E11" s="3" t="s">
        <v>113</v>
      </c>
      <c r="F11" s="3" t="s">
        <v>113</v>
      </c>
      <c r="G11" s="3" t="s">
        <v>119</v>
      </c>
      <c r="H11" s="6">
        <f>SUMIF('Sunglasses BOM'!C9:C86,A11,'Sunglasses BOM'!E9:E86)</f>
        <v>33600</v>
      </c>
      <c r="I11" s="32" cm="1">
        <f t="array" ref="I11">SUMPRODUCT((MOD(COLUMN($R11:$FW11)-COLUMN($R11),2)=0)*($R11:$FW11))</f>
        <v>0</v>
      </c>
      <c r="J11" s="10">
        <f t="shared" si="49"/>
        <v>33600</v>
      </c>
      <c r="K11" s="42">
        <f>'Final Processes daily output'!$F$9</f>
        <v>27000</v>
      </c>
      <c r="L11" s="22">
        <f>VLOOKUP(C11,'Molding PP DPR'!$A$4:$D$12,4,FALSE)</f>
        <v>0</v>
      </c>
      <c r="M11" s="22">
        <f>VLOOKUP(E11,'Molding PP DPR'!$A$18:$D$26,4,FALSE)</f>
        <v>0</v>
      </c>
      <c r="N11" s="22">
        <f>MIN(ROUNDDOWN(L11/'Pre assembly BOM'!E9,0),ROUNDDOWN(M11/'Pre assembly BOM'!H9,0))</f>
        <v>0</v>
      </c>
      <c r="O11" s="23">
        <f t="shared" si="50"/>
        <v>0</v>
      </c>
      <c r="P11" s="55">
        <f t="shared" si="51"/>
        <v>1.2444444444444445</v>
      </c>
      <c r="Q11" s="4"/>
      <c r="R11" s="7"/>
      <c r="S11" s="4"/>
      <c r="T11" s="7"/>
      <c r="U11" s="4"/>
      <c r="V11" s="7"/>
      <c r="W11" s="4"/>
      <c r="X11" s="7"/>
      <c r="Y11" s="4"/>
      <c r="Z11" s="7"/>
      <c r="AA11" s="4"/>
      <c r="AB11" s="7"/>
      <c r="AC11" s="4"/>
      <c r="AD11" s="7"/>
      <c r="AE11" s="4"/>
      <c r="AF11" s="7"/>
      <c r="AG11" s="4"/>
      <c r="AH11" s="7"/>
      <c r="AI11" s="4"/>
      <c r="AJ11" s="7"/>
      <c r="AK11" s="4"/>
      <c r="AL11" s="7"/>
      <c r="AM11" s="4"/>
      <c r="AN11" s="7"/>
      <c r="AO11" s="4"/>
      <c r="AP11" s="7"/>
      <c r="AQ11" s="4"/>
      <c r="AR11" s="7"/>
      <c r="AS11" s="4"/>
      <c r="AT11" s="7"/>
      <c r="AU11" s="4"/>
      <c r="AV11" s="7"/>
      <c r="AW11" s="4"/>
      <c r="AX11" s="7"/>
      <c r="AY11" s="4"/>
      <c r="AZ11" s="7"/>
      <c r="BA11" s="4"/>
      <c r="BB11" s="7"/>
      <c r="BC11" s="4"/>
      <c r="BD11" s="7"/>
      <c r="BE11" s="4"/>
      <c r="BF11" s="7"/>
      <c r="BG11" s="4"/>
      <c r="BH11" s="7"/>
      <c r="BI11" s="4"/>
      <c r="BJ11" s="7"/>
      <c r="BK11" s="4"/>
      <c r="BL11" s="7"/>
      <c r="BM11" s="4"/>
      <c r="BN11" s="7"/>
      <c r="BO11" s="4"/>
      <c r="BP11" s="7"/>
      <c r="BQ11" s="4"/>
      <c r="BR11" s="7"/>
      <c r="BS11" s="4"/>
      <c r="BT11" s="7"/>
      <c r="BU11" s="4"/>
      <c r="BV11" s="7"/>
      <c r="BW11" s="4"/>
      <c r="BX11" s="7"/>
      <c r="BY11" s="4"/>
      <c r="BZ11" s="7"/>
      <c r="CA11" s="4"/>
      <c r="CB11" s="7"/>
      <c r="CC11" s="4"/>
      <c r="CD11" s="7"/>
      <c r="CE11" s="4"/>
      <c r="CF11" s="7"/>
      <c r="CG11" s="4"/>
      <c r="CH11" s="7"/>
      <c r="CI11" s="4"/>
      <c r="CJ11" s="7"/>
      <c r="CK11" s="4"/>
      <c r="CL11" s="7"/>
      <c r="CM11" s="4"/>
      <c r="CN11" s="7"/>
      <c r="CO11" s="4"/>
      <c r="CP11" s="7"/>
      <c r="CQ11" s="4"/>
      <c r="CR11" s="7"/>
      <c r="CS11" s="4"/>
      <c r="CT11" s="7"/>
      <c r="CU11" s="4"/>
      <c r="CV11" s="7"/>
      <c r="CW11" s="4"/>
      <c r="CX11" s="7"/>
      <c r="CY11" s="4"/>
      <c r="CZ11" s="7"/>
      <c r="DA11" s="4"/>
      <c r="DB11" s="7"/>
      <c r="DC11" s="4"/>
      <c r="DD11" s="7"/>
      <c r="DE11" s="4"/>
      <c r="DF11" s="7"/>
      <c r="DG11" s="4"/>
      <c r="DH11" s="7"/>
      <c r="DI11" s="4"/>
      <c r="DJ11" s="7"/>
      <c r="DK11" s="4"/>
      <c r="DL11" s="7"/>
      <c r="DM11" s="4"/>
      <c r="DN11" s="7"/>
    </row>
    <row r="12" spans="1:118" ht="15" thickBot="1" x14ac:dyDescent="0.35">
      <c r="A12" s="2" t="s">
        <v>74</v>
      </c>
      <c r="B12" s="3" t="s">
        <v>75</v>
      </c>
      <c r="C12" s="3" t="s">
        <v>113</v>
      </c>
      <c r="D12" s="3" t="s">
        <v>113</v>
      </c>
      <c r="E12" s="3" t="s">
        <v>113</v>
      </c>
      <c r="F12" s="3" t="s">
        <v>113</v>
      </c>
      <c r="G12" s="3"/>
      <c r="H12" s="6">
        <f>SUMIF('Sunglasses BOM'!C10:C87,A12,'Sunglasses BOM'!E10:E87)</f>
        <v>42000</v>
      </c>
      <c r="I12" s="32" cm="1">
        <f t="array" ref="I12">SUMPRODUCT((MOD(COLUMN($R12:$FW12)-COLUMN($R12),2)=0)*($R12:$FW12))</f>
        <v>0</v>
      </c>
      <c r="J12" s="10">
        <f t="shared" si="49"/>
        <v>42000</v>
      </c>
      <c r="K12" s="42">
        <f>'Final Processes daily output'!$F$9</f>
        <v>27000</v>
      </c>
      <c r="L12" s="22">
        <f>VLOOKUP(C12,'Molding PP DPR'!$A$4:$D$12,4,FALSE)</f>
        <v>0</v>
      </c>
      <c r="M12" s="22">
        <f>VLOOKUP(E12,'Molding PP DPR'!$A$18:$D$26,4,FALSE)</f>
        <v>0</v>
      </c>
      <c r="N12" s="22">
        <f>MIN(ROUNDDOWN(L12/'Pre assembly BOM'!E10,0),ROUNDDOWN(M12/'Pre assembly BOM'!H10,0))</f>
        <v>0</v>
      </c>
      <c r="O12" s="23">
        <f t="shared" si="50"/>
        <v>0</v>
      </c>
      <c r="P12" s="55">
        <f t="shared" si="51"/>
        <v>1.5555555555555556</v>
      </c>
      <c r="Q12" s="4"/>
      <c r="R12" s="7"/>
      <c r="S12" s="4"/>
      <c r="T12" s="7"/>
      <c r="U12" s="4"/>
      <c r="V12" s="7"/>
      <c r="W12" s="4"/>
      <c r="X12" s="7"/>
      <c r="Y12" s="4"/>
      <c r="Z12" s="7"/>
      <c r="AA12" s="4"/>
      <c r="AB12" s="7"/>
      <c r="AC12" s="4"/>
      <c r="AD12" s="7"/>
      <c r="AE12" s="4"/>
      <c r="AF12" s="7"/>
      <c r="AG12" s="4"/>
      <c r="AH12" s="7"/>
      <c r="AI12" s="4"/>
      <c r="AJ12" s="7"/>
      <c r="AK12" s="4"/>
      <c r="AL12" s="7"/>
      <c r="AM12" s="4"/>
      <c r="AN12" s="7"/>
      <c r="AO12" s="4"/>
      <c r="AP12" s="7"/>
      <c r="AQ12" s="4"/>
      <c r="AR12" s="7"/>
      <c r="AS12" s="4"/>
      <c r="AT12" s="7"/>
      <c r="AU12" s="4"/>
      <c r="AV12" s="7"/>
      <c r="AW12" s="4"/>
      <c r="AX12" s="7"/>
      <c r="AY12" s="4"/>
      <c r="AZ12" s="7"/>
      <c r="BA12" s="4"/>
      <c r="BB12" s="7"/>
      <c r="BC12" s="4"/>
      <c r="BD12" s="7"/>
      <c r="BE12" s="4"/>
      <c r="BF12" s="7"/>
      <c r="BG12" s="4"/>
      <c r="BH12" s="7"/>
      <c r="BI12" s="4"/>
      <c r="BJ12" s="7"/>
      <c r="BK12" s="4"/>
      <c r="BL12" s="7"/>
      <c r="BM12" s="4"/>
      <c r="BN12" s="7"/>
      <c r="BO12" s="4"/>
      <c r="BP12" s="7"/>
      <c r="BQ12" s="4"/>
      <c r="BR12" s="7"/>
      <c r="BS12" s="4"/>
      <c r="BT12" s="7"/>
      <c r="BU12" s="4"/>
      <c r="BV12" s="7"/>
      <c r="BW12" s="4"/>
      <c r="BX12" s="7"/>
      <c r="BY12" s="4"/>
      <c r="BZ12" s="7"/>
      <c r="CA12" s="4"/>
      <c r="CB12" s="7"/>
      <c r="CC12" s="4"/>
      <c r="CD12" s="7"/>
      <c r="CE12" s="4"/>
      <c r="CF12" s="7"/>
      <c r="CG12" s="4"/>
      <c r="CH12" s="7"/>
      <c r="CI12" s="4"/>
      <c r="CJ12" s="7"/>
      <c r="CK12" s="4"/>
      <c r="CL12" s="7"/>
      <c r="CM12" s="4"/>
      <c r="CN12" s="7"/>
      <c r="CO12" s="4"/>
      <c r="CP12" s="7"/>
      <c r="CQ12" s="4"/>
      <c r="CR12" s="7"/>
      <c r="CS12" s="4"/>
      <c r="CT12" s="7"/>
      <c r="CU12" s="4"/>
      <c r="CV12" s="7"/>
      <c r="CW12" s="4"/>
      <c r="CX12" s="7"/>
      <c r="CY12" s="4"/>
      <c r="CZ12" s="7"/>
      <c r="DA12" s="4"/>
      <c r="DB12" s="7"/>
      <c r="DC12" s="4"/>
      <c r="DD12" s="7"/>
      <c r="DE12" s="4"/>
      <c r="DF12" s="7"/>
      <c r="DG12" s="4"/>
      <c r="DH12" s="7"/>
      <c r="DI12" s="4"/>
      <c r="DJ12" s="7"/>
      <c r="DK12" s="4"/>
      <c r="DL12" s="7"/>
      <c r="DM12" s="4"/>
      <c r="DN12" s="7"/>
    </row>
    <row r="13" spans="1:118" ht="15" thickBot="1" x14ac:dyDescent="0.35">
      <c r="A13" s="2" t="s">
        <v>76</v>
      </c>
      <c r="B13" s="3" t="s">
        <v>77</v>
      </c>
      <c r="C13" s="3" t="s">
        <v>170</v>
      </c>
      <c r="D13" s="3" t="s">
        <v>111</v>
      </c>
      <c r="E13" s="3" t="s">
        <v>174</v>
      </c>
      <c r="F13" s="3" t="s">
        <v>121</v>
      </c>
      <c r="G13" s="3"/>
      <c r="H13" s="6">
        <f>SUMIF('Sunglasses BOM'!C11:C88,A13,'Sunglasses BOM'!E11:E88)</f>
        <v>8400</v>
      </c>
      <c r="I13" s="32" cm="1">
        <f t="array" ref="I13">SUMPRODUCT((MOD(COLUMN($R13:$FW13)-COLUMN($R13),2)=0)*($R13:$FW13))</f>
        <v>0</v>
      </c>
      <c r="J13" s="10">
        <f t="shared" si="49"/>
        <v>8400</v>
      </c>
      <c r="K13" s="42">
        <f>'Final Processes daily output'!$F$9</f>
        <v>27000</v>
      </c>
      <c r="L13" s="22">
        <f>VLOOKUP(C13,'Molding PP DPR'!$A$4:$D$12,4,FALSE)</f>
        <v>0</v>
      </c>
      <c r="M13" s="22">
        <f>VLOOKUP(E13,'Molding PP DPR'!$A$18:$D$26,4,FALSE)</f>
        <v>0</v>
      </c>
      <c r="N13" s="22">
        <f>MIN(ROUNDDOWN(L13/'Pre assembly BOM'!E11,0),ROUNDDOWN(M13/'Pre assembly BOM'!H11,0))</f>
        <v>0</v>
      </c>
      <c r="O13" s="23">
        <f t="shared" si="50"/>
        <v>0</v>
      </c>
      <c r="P13" s="55">
        <f t="shared" si="51"/>
        <v>0.31111111111111112</v>
      </c>
      <c r="Q13" s="4"/>
      <c r="R13" s="7"/>
      <c r="S13" s="4"/>
      <c r="T13" s="7"/>
      <c r="U13" s="4"/>
      <c r="V13" s="7"/>
      <c r="W13" s="4"/>
      <c r="X13" s="7"/>
      <c r="Y13" s="4"/>
      <c r="Z13" s="7"/>
      <c r="AA13" s="4"/>
      <c r="AB13" s="7"/>
      <c r="AC13" s="4"/>
      <c r="AD13" s="7"/>
      <c r="AE13" s="4"/>
      <c r="AF13" s="7"/>
      <c r="AG13" s="4"/>
      <c r="AH13" s="7"/>
      <c r="AI13" s="4"/>
      <c r="AJ13" s="7"/>
      <c r="AK13" s="4"/>
      <c r="AL13" s="7"/>
      <c r="AM13" s="4"/>
      <c r="AN13" s="7"/>
      <c r="AO13" s="4"/>
      <c r="AP13" s="7"/>
      <c r="AQ13" s="4"/>
      <c r="AR13" s="7"/>
      <c r="AS13" s="4"/>
      <c r="AT13" s="7"/>
      <c r="AU13" s="4"/>
      <c r="AV13" s="7"/>
      <c r="AW13" s="4"/>
      <c r="AX13" s="7"/>
      <c r="AY13" s="4"/>
      <c r="AZ13" s="7"/>
      <c r="BA13" s="4"/>
      <c r="BB13" s="7"/>
      <c r="BC13" s="4"/>
      <c r="BD13" s="7"/>
      <c r="BE13" s="4"/>
      <c r="BF13" s="7"/>
      <c r="BG13" s="4"/>
      <c r="BH13" s="7"/>
      <c r="BI13" s="4"/>
      <c r="BJ13" s="7"/>
      <c r="BK13" s="4"/>
      <c r="BL13" s="7"/>
      <c r="BM13" s="4"/>
      <c r="BN13" s="7"/>
      <c r="BO13" s="4"/>
      <c r="BP13" s="7"/>
      <c r="BQ13" s="4"/>
      <c r="BR13" s="7"/>
      <c r="BS13" s="4"/>
      <c r="BT13" s="7"/>
      <c r="BU13" s="4"/>
      <c r="BV13" s="7"/>
      <c r="BW13" s="4"/>
      <c r="BX13" s="7"/>
      <c r="BY13" s="4"/>
      <c r="BZ13" s="7"/>
      <c r="CA13" s="4"/>
      <c r="CB13" s="7"/>
      <c r="CC13" s="4"/>
      <c r="CD13" s="7"/>
      <c r="CE13" s="4"/>
      <c r="CF13" s="7"/>
      <c r="CG13" s="4"/>
      <c r="CH13" s="7"/>
      <c r="CI13" s="4"/>
      <c r="CJ13" s="7"/>
      <c r="CK13" s="4"/>
      <c r="CL13" s="7"/>
      <c r="CM13" s="4"/>
      <c r="CN13" s="7"/>
      <c r="CO13" s="4"/>
      <c r="CP13" s="7"/>
      <c r="CQ13" s="4"/>
      <c r="CR13" s="7"/>
      <c r="CS13" s="4"/>
      <c r="CT13" s="7"/>
      <c r="CU13" s="4"/>
      <c r="CV13" s="7"/>
      <c r="CW13" s="4"/>
      <c r="CX13" s="7"/>
      <c r="CY13" s="4"/>
      <c r="CZ13" s="7"/>
      <c r="DA13" s="4"/>
      <c r="DB13" s="7"/>
      <c r="DC13" s="4"/>
      <c r="DD13" s="7"/>
      <c r="DE13" s="4"/>
      <c r="DF13" s="7"/>
      <c r="DG13" s="4"/>
      <c r="DH13" s="7"/>
      <c r="DI13" s="4"/>
      <c r="DJ13" s="7"/>
      <c r="DK13" s="4"/>
      <c r="DL13" s="7"/>
      <c r="DM13" s="4"/>
      <c r="DN13" s="7"/>
    </row>
    <row r="14" spans="1:118" ht="15" thickBot="1" x14ac:dyDescent="0.35">
      <c r="A14" s="2" t="s">
        <v>78</v>
      </c>
      <c r="B14" s="3" t="s">
        <v>79</v>
      </c>
      <c r="C14" s="3" t="s">
        <v>175</v>
      </c>
      <c r="D14" s="3" t="s">
        <v>122</v>
      </c>
      <c r="E14" s="3" t="s">
        <v>175</v>
      </c>
      <c r="F14" s="3" t="s">
        <v>122</v>
      </c>
      <c r="G14" s="3"/>
      <c r="H14" s="6">
        <f>SUMIF('Sunglasses BOM'!C12:C89,A14,'Sunglasses BOM'!E12:E89)</f>
        <v>8400</v>
      </c>
      <c r="I14" s="32" cm="1">
        <f t="array" ref="I14">SUMPRODUCT((MOD(COLUMN($R14:$FW14)-COLUMN($R14),2)=0)*($R14:$FW14))</f>
        <v>0</v>
      </c>
      <c r="J14" s="10">
        <f t="shared" si="49"/>
        <v>8400</v>
      </c>
      <c r="K14" s="42">
        <f>'Final Processes daily output'!$F$9</f>
        <v>27000</v>
      </c>
      <c r="L14" s="22">
        <f>VLOOKUP(C14,'Molding PP DPR'!$A$4:$D$12,4,FALSE)</f>
        <v>0</v>
      </c>
      <c r="M14" s="22">
        <f>VLOOKUP(E14,'Molding PP DPR'!$A$18:$D$26,4,FALSE)</f>
        <v>0</v>
      </c>
      <c r="N14" s="22">
        <f>MIN(ROUNDDOWN(L14/'Pre assembly BOM'!E12,0),ROUNDDOWN(M14/'Pre assembly BOM'!H12,0))</f>
        <v>0</v>
      </c>
      <c r="O14" s="23">
        <f t="shared" si="50"/>
        <v>0</v>
      </c>
      <c r="P14" s="55">
        <f t="shared" si="51"/>
        <v>0.31111111111111112</v>
      </c>
      <c r="Q14" s="4"/>
      <c r="R14" s="7"/>
      <c r="S14" s="4"/>
      <c r="T14" s="7"/>
      <c r="U14" s="4"/>
      <c r="V14" s="7"/>
      <c r="W14" s="4"/>
      <c r="X14" s="7"/>
      <c r="Y14" s="4"/>
      <c r="Z14" s="7"/>
      <c r="AA14" s="4"/>
      <c r="AB14" s="7"/>
      <c r="AC14" s="4"/>
      <c r="AD14" s="7"/>
      <c r="AE14" s="4"/>
      <c r="AF14" s="7"/>
      <c r="AG14" s="4"/>
      <c r="AH14" s="7"/>
      <c r="AI14" s="4"/>
      <c r="AJ14" s="7"/>
      <c r="AK14" s="4"/>
      <c r="AL14" s="7"/>
      <c r="AM14" s="4"/>
      <c r="AN14" s="7"/>
      <c r="AO14" s="4"/>
      <c r="AP14" s="7"/>
      <c r="AQ14" s="4"/>
      <c r="AR14" s="7"/>
      <c r="AS14" s="4"/>
      <c r="AT14" s="7"/>
      <c r="AU14" s="4"/>
      <c r="AV14" s="7"/>
      <c r="AW14" s="4"/>
      <c r="AX14" s="7"/>
      <c r="AY14" s="4"/>
      <c r="AZ14" s="7"/>
      <c r="BA14" s="4"/>
      <c r="BB14" s="7"/>
      <c r="BC14" s="4"/>
      <c r="BD14" s="7"/>
      <c r="BE14" s="4"/>
      <c r="BF14" s="7"/>
      <c r="BG14" s="4"/>
      <c r="BH14" s="7"/>
      <c r="BI14" s="4"/>
      <c r="BJ14" s="7"/>
      <c r="BK14" s="4"/>
      <c r="BL14" s="7"/>
      <c r="BM14" s="4"/>
      <c r="BN14" s="7"/>
      <c r="BO14" s="4"/>
      <c r="BP14" s="7"/>
      <c r="BQ14" s="4"/>
      <c r="BR14" s="7"/>
      <c r="BS14" s="4"/>
      <c r="BT14" s="7"/>
      <c r="BU14" s="4"/>
      <c r="BV14" s="7"/>
      <c r="BW14" s="4"/>
      <c r="BX14" s="7"/>
      <c r="BY14" s="4"/>
      <c r="BZ14" s="7"/>
      <c r="CA14" s="4"/>
      <c r="CB14" s="7"/>
      <c r="CC14" s="4"/>
      <c r="CD14" s="7"/>
      <c r="CE14" s="4"/>
      <c r="CF14" s="7"/>
      <c r="CG14" s="4"/>
      <c r="CH14" s="7"/>
      <c r="CI14" s="4"/>
      <c r="CJ14" s="7"/>
      <c r="CK14" s="4"/>
      <c r="CL14" s="7"/>
      <c r="CM14" s="4"/>
      <c r="CN14" s="7"/>
      <c r="CO14" s="4"/>
      <c r="CP14" s="7"/>
      <c r="CQ14" s="4"/>
      <c r="CR14" s="7"/>
      <c r="CS14" s="4"/>
      <c r="CT14" s="7"/>
      <c r="CU14" s="4"/>
      <c r="CV14" s="7"/>
      <c r="CW14" s="4"/>
      <c r="CX14" s="7"/>
      <c r="CY14" s="4"/>
      <c r="CZ14" s="7"/>
      <c r="DA14" s="4"/>
      <c r="DB14" s="7"/>
      <c r="DC14" s="4"/>
      <c r="DD14" s="7"/>
      <c r="DE14" s="4"/>
      <c r="DF14" s="7"/>
      <c r="DG14" s="4"/>
      <c r="DH14" s="7"/>
      <c r="DI14" s="4"/>
      <c r="DJ14" s="7"/>
      <c r="DK14" s="4"/>
      <c r="DL14" s="7"/>
      <c r="DM14" s="4"/>
      <c r="DN14" s="7"/>
    </row>
    <row r="15" spans="1:118" ht="15" thickBot="1" x14ac:dyDescent="0.35">
      <c r="A15" s="2" t="s">
        <v>80</v>
      </c>
      <c r="B15" s="3" t="s">
        <v>81</v>
      </c>
      <c r="C15" s="3" t="s">
        <v>176</v>
      </c>
      <c r="D15" s="3" t="s">
        <v>115</v>
      </c>
      <c r="E15" s="3" t="s">
        <v>176</v>
      </c>
      <c r="F15" s="3" t="s">
        <v>115</v>
      </c>
      <c r="G15" s="3" t="s">
        <v>119</v>
      </c>
      <c r="H15" s="6">
        <f>SUMIF('Sunglasses BOM'!C13:C90,A15,'Sunglasses BOM'!E13:E90)</f>
        <v>16800</v>
      </c>
      <c r="I15" s="32" cm="1">
        <f t="array" ref="I15">SUMPRODUCT((MOD(COLUMN($R15:$FW15)-COLUMN($R15),2)=0)*($R15:$FW15))</f>
        <v>0</v>
      </c>
      <c r="J15" s="10">
        <f t="shared" si="49"/>
        <v>16800</v>
      </c>
      <c r="K15" s="42">
        <f>'Final Processes daily output'!$F$9</f>
        <v>27000</v>
      </c>
      <c r="L15" s="22">
        <f>VLOOKUP(C15,'Molding PP DPR'!$A$4:$D$12,4,FALSE)</f>
        <v>0</v>
      </c>
      <c r="M15" s="22">
        <f>VLOOKUP(E15,'Molding PP DPR'!$A$18:$D$26,4,FALSE)</f>
        <v>0</v>
      </c>
      <c r="N15" s="22">
        <f>MIN(ROUNDDOWN(L15/'Pre assembly BOM'!E13,0),ROUNDDOWN(M15/'Pre assembly BOM'!H13,0))</f>
        <v>0</v>
      </c>
      <c r="O15" s="23">
        <f t="shared" si="50"/>
        <v>0</v>
      </c>
      <c r="P15" s="55">
        <f t="shared" si="51"/>
        <v>0.62222222222222223</v>
      </c>
      <c r="Q15" s="4"/>
      <c r="R15" s="7"/>
      <c r="S15" s="4"/>
      <c r="T15" s="7"/>
      <c r="U15" s="4"/>
      <c r="V15" s="7"/>
      <c r="W15" s="4"/>
      <c r="X15" s="7"/>
      <c r="Y15" s="4"/>
      <c r="Z15" s="7"/>
      <c r="AA15" s="4"/>
      <c r="AB15" s="7"/>
      <c r="AC15" s="4"/>
      <c r="AD15" s="7"/>
      <c r="AE15" s="4"/>
      <c r="AF15" s="7"/>
      <c r="AG15" s="4"/>
      <c r="AH15" s="7"/>
      <c r="AI15" s="4"/>
      <c r="AJ15" s="7"/>
      <c r="AK15" s="4"/>
      <c r="AL15" s="7"/>
      <c r="AM15" s="4"/>
      <c r="AN15" s="7"/>
      <c r="AO15" s="4"/>
      <c r="AP15" s="7"/>
      <c r="AQ15" s="4"/>
      <c r="AR15" s="7"/>
      <c r="AS15" s="4"/>
      <c r="AT15" s="7"/>
      <c r="AU15" s="4"/>
      <c r="AV15" s="7"/>
      <c r="AW15" s="4"/>
      <c r="AX15" s="7"/>
      <c r="AY15" s="4"/>
      <c r="AZ15" s="7"/>
      <c r="BA15" s="4"/>
      <c r="BB15" s="7"/>
      <c r="BC15" s="4"/>
      <c r="BD15" s="7"/>
      <c r="BE15" s="4"/>
      <c r="BF15" s="7"/>
      <c r="BG15" s="4"/>
      <c r="BH15" s="7"/>
      <c r="BI15" s="4"/>
      <c r="BJ15" s="7"/>
      <c r="BK15" s="4"/>
      <c r="BL15" s="7"/>
      <c r="BM15" s="4"/>
      <c r="BN15" s="7"/>
      <c r="BO15" s="4"/>
      <c r="BP15" s="7"/>
      <c r="BQ15" s="4"/>
      <c r="BR15" s="7"/>
      <c r="BS15" s="4"/>
      <c r="BT15" s="7"/>
      <c r="BU15" s="4"/>
      <c r="BV15" s="7"/>
      <c r="BW15" s="4"/>
      <c r="BX15" s="7"/>
      <c r="BY15" s="4"/>
      <c r="BZ15" s="7"/>
      <c r="CA15" s="4"/>
      <c r="CB15" s="7"/>
      <c r="CC15" s="4"/>
      <c r="CD15" s="7"/>
      <c r="CE15" s="4"/>
      <c r="CF15" s="7"/>
      <c r="CG15" s="4"/>
      <c r="CH15" s="7"/>
      <c r="CI15" s="4"/>
      <c r="CJ15" s="7"/>
      <c r="CK15" s="4"/>
      <c r="CL15" s="7"/>
      <c r="CM15" s="4"/>
      <c r="CN15" s="7"/>
      <c r="CO15" s="4"/>
      <c r="CP15" s="7"/>
      <c r="CQ15" s="4"/>
      <c r="CR15" s="7"/>
      <c r="CS15" s="4"/>
      <c r="CT15" s="7"/>
      <c r="CU15" s="4"/>
      <c r="CV15" s="7"/>
      <c r="CW15" s="4"/>
      <c r="CX15" s="7"/>
      <c r="CY15" s="4"/>
      <c r="CZ15" s="7"/>
      <c r="DA15" s="4"/>
      <c r="DB15" s="7"/>
      <c r="DC15" s="4"/>
      <c r="DD15" s="7"/>
      <c r="DE15" s="4"/>
      <c r="DF15" s="7"/>
      <c r="DG15" s="4"/>
      <c r="DH15" s="7"/>
      <c r="DI15" s="4"/>
      <c r="DJ15" s="7"/>
      <c r="DK15" s="4"/>
      <c r="DL15" s="7"/>
      <c r="DM15" s="4"/>
      <c r="DN15" s="7"/>
    </row>
    <row r="16" spans="1:118" ht="15" thickBot="1" x14ac:dyDescent="0.35">
      <c r="A16" s="2" t="s">
        <v>82</v>
      </c>
      <c r="B16" s="3" t="s">
        <v>83</v>
      </c>
      <c r="C16" s="3" t="s">
        <v>176</v>
      </c>
      <c r="D16" s="3" t="s">
        <v>115</v>
      </c>
      <c r="E16" s="3" t="s">
        <v>176</v>
      </c>
      <c r="F16" s="3" t="s">
        <v>115</v>
      </c>
      <c r="G16" s="3"/>
      <c r="H16" s="6">
        <f>SUMIF('Sunglasses BOM'!C14:C91,A16,'Sunglasses BOM'!E14:E91)</f>
        <v>25200</v>
      </c>
      <c r="I16" s="32" cm="1">
        <f t="array" ref="I16">SUMPRODUCT((MOD(COLUMN($R16:$FW16)-COLUMN($R16),2)=0)*($R16:$FW16))</f>
        <v>0</v>
      </c>
      <c r="J16" s="10">
        <f t="shared" si="49"/>
        <v>25200</v>
      </c>
      <c r="K16" s="42">
        <f>'Final Processes daily output'!$F$9</f>
        <v>27000</v>
      </c>
      <c r="L16" s="22">
        <f>VLOOKUP(C16,'Molding PP DPR'!$A$4:$D$12,4,FALSE)</f>
        <v>0</v>
      </c>
      <c r="M16" s="22">
        <f>VLOOKUP(E16,'Molding PP DPR'!$A$18:$D$26,4,FALSE)</f>
        <v>0</v>
      </c>
      <c r="N16" s="22">
        <f>MIN(ROUNDDOWN(L16/'Pre assembly BOM'!E14,0),ROUNDDOWN(M16/'Pre assembly BOM'!H14,0))</f>
        <v>0</v>
      </c>
      <c r="O16" s="23">
        <f t="shared" si="50"/>
        <v>0</v>
      </c>
      <c r="P16" s="55">
        <f t="shared" si="51"/>
        <v>0.93333333333333335</v>
      </c>
      <c r="Q16" s="4"/>
      <c r="R16" s="7"/>
      <c r="S16" s="4"/>
      <c r="T16" s="7"/>
      <c r="U16" s="4"/>
      <c r="V16" s="7"/>
      <c r="W16" s="4"/>
      <c r="X16" s="7"/>
      <c r="Y16" s="4"/>
      <c r="Z16" s="7"/>
      <c r="AA16" s="4"/>
      <c r="AB16" s="7"/>
      <c r="AC16" s="4"/>
      <c r="AD16" s="7"/>
      <c r="AE16" s="4"/>
      <c r="AF16" s="7"/>
      <c r="AG16" s="4"/>
      <c r="AH16" s="7"/>
      <c r="AI16" s="4"/>
      <c r="AJ16" s="7"/>
      <c r="AK16" s="4"/>
      <c r="AL16" s="7"/>
      <c r="AM16" s="4"/>
      <c r="AN16" s="7"/>
      <c r="AO16" s="4"/>
      <c r="AP16" s="7"/>
      <c r="AQ16" s="4"/>
      <c r="AR16" s="7"/>
      <c r="AS16" s="4"/>
      <c r="AT16" s="7"/>
      <c r="AU16" s="4"/>
      <c r="AV16" s="7"/>
      <c r="AW16" s="4"/>
      <c r="AX16" s="7"/>
      <c r="AY16" s="4"/>
      <c r="AZ16" s="7"/>
      <c r="BA16" s="4"/>
      <c r="BB16" s="7"/>
      <c r="BC16" s="4"/>
      <c r="BD16" s="7"/>
      <c r="BE16" s="4"/>
      <c r="BF16" s="7"/>
      <c r="BG16" s="4"/>
      <c r="BH16" s="7"/>
      <c r="BI16" s="4"/>
      <c r="BJ16" s="7"/>
      <c r="BK16" s="4"/>
      <c r="BL16" s="7"/>
      <c r="BM16" s="4"/>
      <c r="BN16" s="7"/>
      <c r="BO16" s="4"/>
      <c r="BP16" s="7"/>
      <c r="BQ16" s="4"/>
      <c r="BR16" s="7"/>
      <c r="BS16" s="4"/>
      <c r="BT16" s="7"/>
      <c r="BU16" s="4"/>
      <c r="BV16" s="7"/>
      <c r="BW16" s="4"/>
      <c r="BX16" s="7"/>
      <c r="BY16" s="4"/>
      <c r="BZ16" s="7"/>
      <c r="CA16" s="4"/>
      <c r="CB16" s="7"/>
      <c r="CC16" s="4"/>
      <c r="CD16" s="7"/>
      <c r="CE16" s="4"/>
      <c r="CF16" s="7"/>
      <c r="CG16" s="4"/>
      <c r="CH16" s="7"/>
      <c r="CI16" s="4"/>
      <c r="CJ16" s="7"/>
      <c r="CK16" s="4"/>
      <c r="CL16" s="7"/>
      <c r="CM16" s="4"/>
      <c r="CN16" s="7"/>
      <c r="CO16" s="4"/>
      <c r="CP16" s="7"/>
      <c r="CQ16" s="4"/>
      <c r="CR16" s="7"/>
      <c r="CS16" s="4"/>
      <c r="CT16" s="7"/>
      <c r="CU16" s="4"/>
      <c r="CV16" s="7"/>
      <c r="CW16" s="4"/>
      <c r="CX16" s="7"/>
      <c r="CY16" s="4"/>
      <c r="CZ16" s="7"/>
      <c r="DA16" s="4"/>
      <c r="DB16" s="7"/>
      <c r="DC16" s="4"/>
      <c r="DD16" s="7"/>
      <c r="DE16" s="4"/>
      <c r="DF16" s="7"/>
      <c r="DG16" s="4"/>
      <c r="DH16" s="7"/>
      <c r="DI16" s="4"/>
      <c r="DJ16" s="7"/>
      <c r="DK16" s="4"/>
      <c r="DL16" s="7"/>
      <c r="DM16" s="4"/>
      <c r="DN16" s="7"/>
    </row>
    <row r="17" spans="1:118" ht="15" thickBot="1" x14ac:dyDescent="0.35">
      <c r="A17" s="2" t="s">
        <v>84</v>
      </c>
      <c r="B17" s="3" t="s">
        <v>85</v>
      </c>
      <c r="C17" s="3" t="s">
        <v>177</v>
      </c>
      <c r="D17" s="3" t="s">
        <v>123</v>
      </c>
      <c r="E17" s="3" t="s">
        <v>177</v>
      </c>
      <c r="F17" s="3" t="s">
        <v>123</v>
      </c>
      <c r="G17" s="3"/>
      <c r="H17" s="6">
        <f>SUMIF('Sunglasses BOM'!C15:C92,A17,'Sunglasses BOM'!E15:E92)</f>
        <v>25200</v>
      </c>
      <c r="I17" s="32" cm="1">
        <f t="array" ref="I17">SUMPRODUCT((MOD(COLUMN($R17:$FW17)-COLUMN($R17),2)=0)*($R17:$FW17))</f>
        <v>0</v>
      </c>
      <c r="J17" s="10">
        <f t="shared" si="49"/>
        <v>25200</v>
      </c>
      <c r="K17" s="42">
        <f>'Final Processes daily output'!$F$9</f>
        <v>27000</v>
      </c>
      <c r="L17" s="22">
        <f>VLOOKUP(C17,'Molding PP DPR'!$A$4:$D$12,4,FALSE)</f>
        <v>0</v>
      </c>
      <c r="M17" s="22">
        <f>VLOOKUP(E17,'Molding PP DPR'!$A$18:$D$26,4,FALSE)</f>
        <v>0</v>
      </c>
      <c r="N17" s="22">
        <f>MIN(ROUNDDOWN(L17/'Pre assembly BOM'!E15,0),ROUNDDOWN(M17/'Pre assembly BOM'!H15,0))</f>
        <v>0</v>
      </c>
      <c r="O17" s="25">
        <f t="shared" si="50"/>
        <v>0</v>
      </c>
      <c r="P17" s="55">
        <f t="shared" si="51"/>
        <v>0.93333333333333335</v>
      </c>
      <c r="Q17" s="4"/>
      <c r="R17" s="7"/>
      <c r="S17" s="4"/>
      <c r="T17" s="7"/>
      <c r="U17" s="4"/>
      <c r="V17" s="7"/>
      <c r="W17" s="4"/>
      <c r="X17" s="7"/>
      <c r="Y17" s="4"/>
      <c r="Z17" s="7"/>
      <c r="AA17" s="4"/>
      <c r="AB17" s="7"/>
      <c r="AC17" s="4"/>
      <c r="AD17" s="7"/>
      <c r="AE17" s="4"/>
      <c r="AF17" s="7"/>
      <c r="AG17" s="4"/>
      <c r="AH17" s="7"/>
      <c r="AI17" s="4"/>
      <c r="AJ17" s="7"/>
      <c r="AK17" s="4"/>
      <c r="AL17" s="7"/>
      <c r="AM17" s="4"/>
      <c r="AN17" s="7"/>
      <c r="AO17" s="4"/>
      <c r="AP17" s="7"/>
      <c r="AQ17" s="4"/>
      <c r="AR17" s="7"/>
      <c r="AS17" s="4"/>
      <c r="AT17" s="7"/>
      <c r="AU17" s="4"/>
      <c r="AV17" s="7"/>
      <c r="AW17" s="4"/>
      <c r="AX17" s="7"/>
      <c r="AY17" s="4"/>
      <c r="AZ17" s="7"/>
      <c r="BA17" s="4"/>
      <c r="BB17" s="7"/>
      <c r="BC17" s="4"/>
      <c r="BD17" s="7"/>
      <c r="BE17" s="4"/>
      <c r="BF17" s="7"/>
      <c r="BG17" s="4"/>
      <c r="BH17" s="7"/>
      <c r="BI17" s="4"/>
      <c r="BJ17" s="7"/>
      <c r="BK17" s="4"/>
      <c r="BL17" s="7"/>
      <c r="BM17" s="4"/>
      <c r="BN17" s="7"/>
      <c r="BO17" s="4"/>
      <c r="BP17" s="7"/>
      <c r="BQ17" s="4"/>
      <c r="BR17" s="7"/>
      <c r="BS17" s="4"/>
      <c r="BT17" s="7"/>
      <c r="BU17" s="4"/>
      <c r="BV17" s="7"/>
      <c r="BW17" s="4"/>
      <c r="BX17" s="7"/>
      <c r="BY17" s="4"/>
      <c r="BZ17" s="7"/>
      <c r="CA17" s="4"/>
      <c r="CB17" s="7"/>
      <c r="CC17" s="4"/>
      <c r="CD17" s="7"/>
      <c r="CE17" s="4"/>
      <c r="CF17" s="7"/>
      <c r="CG17" s="4"/>
      <c r="CH17" s="7"/>
      <c r="CI17" s="4"/>
      <c r="CJ17" s="7"/>
      <c r="CK17" s="4"/>
      <c r="CL17" s="7"/>
      <c r="CM17" s="4"/>
      <c r="CN17" s="7"/>
      <c r="CO17" s="4"/>
      <c r="CP17" s="7"/>
      <c r="CQ17" s="4"/>
      <c r="CR17" s="7"/>
      <c r="CS17" s="4"/>
      <c r="CT17" s="7"/>
      <c r="CU17" s="4"/>
      <c r="CV17" s="7"/>
      <c r="CW17" s="4"/>
      <c r="CX17" s="7"/>
      <c r="CY17" s="4"/>
      <c r="CZ17" s="7"/>
      <c r="DA17" s="4"/>
      <c r="DB17" s="7"/>
      <c r="DC17" s="4"/>
      <c r="DD17" s="7"/>
      <c r="DE17" s="4"/>
      <c r="DF17" s="7"/>
      <c r="DG17" s="4"/>
      <c r="DH17" s="7"/>
      <c r="DI17" s="4"/>
      <c r="DJ17" s="7"/>
      <c r="DK17" s="4"/>
      <c r="DL17" s="7"/>
      <c r="DM17" s="4"/>
      <c r="DN17" s="7"/>
    </row>
    <row r="18" spans="1:118" ht="15" thickBot="1" x14ac:dyDescent="0.35">
      <c r="A18" s="2" t="s">
        <v>86</v>
      </c>
      <c r="B18" s="3" t="s">
        <v>87</v>
      </c>
      <c r="C18" s="3" t="s">
        <v>113</v>
      </c>
      <c r="D18" s="3" t="s">
        <v>113</v>
      </c>
      <c r="E18" s="3" t="s">
        <v>171</v>
      </c>
      <c r="F18" s="3" t="s">
        <v>112</v>
      </c>
      <c r="G18" s="3"/>
      <c r="H18" s="6">
        <f>SUMIF('Sunglasses BOM'!C16:C93,A18,'Sunglasses BOM'!E16:E93)</f>
        <v>33600</v>
      </c>
      <c r="I18" s="32" cm="1">
        <f t="array" ref="I18">SUMPRODUCT((MOD(COLUMN($R18:$FW18)-COLUMN($R18),2)=0)*($R18:$FW18))</f>
        <v>0</v>
      </c>
      <c r="J18" s="10">
        <f t="shared" ref="J18:J27" si="52">H18-I18</f>
        <v>33600</v>
      </c>
      <c r="K18" s="42">
        <f>'Final Processes daily output'!$F$9</f>
        <v>27000</v>
      </c>
      <c r="L18" s="22">
        <f>VLOOKUP(C18,'Molding PP DPR'!$A$4:$D$12,4,FALSE)</f>
        <v>0</v>
      </c>
      <c r="M18" s="22">
        <f>VLOOKUP(E18,'Molding PP DPR'!$A$18:$D$26,4,FALSE)</f>
        <v>0</v>
      </c>
      <c r="N18" s="22">
        <f>MIN(ROUNDDOWN(L18/'Pre assembly BOM'!E16,0),ROUNDDOWN(M18/'Pre assembly BOM'!H16,0))</f>
        <v>0</v>
      </c>
      <c r="O18" s="25">
        <f t="shared" ref="O18:O27" si="53">N18-I18</f>
        <v>0</v>
      </c>
      <c r="P18" s="55">
        <f t="shared" ref="P18:P27" si="54">J18/K18</f>
        <v>1.2444444444444445</v>
      </c>
      <c r="Q18" s="4"/>
      <c r="R18" s="7"/>
      <c r="S18" s="4"/>
      <c r="T18" s="7"/>
      <c r="U18" s="4"/>
      <c r="V18" s="7"/>
      <c r="W18" s="4"/>
      <c r="X18" s="7"/>
      <c r="Y18" s="4"/>
      <c r="Z18" s="7"/>
      <c r="AA18" s="4"/>
      <c r="AB18" s="7"/>
      <c r="AC18" s="4"/>
      <c r="AD18" s="7"/>
      <c r="AE18" s="4"/>
      <c r="AF18" s="7"/>
      <c r="AG18" s="4"/>
      <c r="AH18" s="7"/>
      <c r="AI18" s="4"/>
      <c r="AJ18" s="7"/>
      <c r="AK18" s="4"/>
      <c r="AL18" s="7"/>
      <c r="AM18" s="4"/>
      <c r="AN18" s="7"/>
      <c r="AO18" s="4"/>
      <c r="AP18" s="7"/>
      <c r="AQ18" s="4"/>
      <c r="AR18" s="7"/>
      <c r="AS18" s="4"/>
      <c r="AT18" s="7"/>
      <c r="AU18" s="4"/>
      <c r="AV18" s="7"/>
      <c r="AW18" s="4"/>
      <c r="AX18" s="7"/>
      <c r="AY18" s="4"/>
      <c r="AZ18" s="7"/>
      <c r="BA18" s="4"/>
      <c r="BB18" s="7"/>
      <c r="BC18" s="4"/>
      <c r="BD18" s="7"/>
      <c r="BE18" s="4"/>
      <c r="BF18" s="7"/>
      <c r="BG18" s="4"/>
      <c r="BH18" s="7"/>
      <c r="BI18" s="4"/>
      <c r="BJ18" s="7"/>
      <c r="BK18" s="4"/>
      <c r="BL18" s="7"/>
      <c r="BM18" s="4"/>
      <c r="BN18" s="7"/>
      <c r="BO18" s="4"/>
      <c r="BP18" s="7"/>
      <c r="BQ18" s="4"/>
      <c r="BR18" s="7"/>
      <c r="BS18" s="4"/>
      <c r="BT18" s="7"/>
      <c r="BU18" s="4"/>
      <c r="BV18" s="7"/>
      <c r="BW18" s="4"/>
      <c r="BX18" s="7"/>
      <c r="BY18" s="4"/>
      <c r="BZ18" s="7"/>
      <c r="CA18" s="4"/>
      <c r="CB18" s="7"/>
      <c r="CC18" s="4"/>
      <c r="CD18" s="7"/>
      <c r="CE18" s="4"/>
      <c r="CF18" s="7"/>
      <c r="CG18" s="4"/>
      <c r="CH18" s="7"/>
      <c r="CI18" s="4"/>
      <c r="CJ18" s="7"/>
      <c r="CK18" s="4"/>
      <c r="CL18" s="7"/>
      <c r="CM18" s="4"/>
      <c r="CN18" s="7"/>
      <c r="CO18" s="4"/>
      <c r="CP18" s="7"/>
      <c r="CQ18" s="4"/>
      <c r="CR18" s="7"/>
      <c r="CS18" s="4"/>
      <c r="CT18" s="7"/>
      <c r="CU18" s="4"/>
      <c r="CV18" s="7"/>
      <c r="CW18" s="4"/>
      <c r="CX18" s="7"/>
      <c r="CY18" s="4"/>
      <c r="CZ18" s="7"/>
      <c r="DA18" s="4"/>
      <c r="DB18" s="7"/>
      <c r="DC18" s="4"/>
      <c r="DD18" s="7"/>
      <c r="DE18" s="4"/>
      <c r="DF18" s="7"/>
      <c r="DG18" s="4"/>
      <c r="DH18" s="7"/>
      <c r="DI18" s="4"/>
      <c r="DJ18" s="7"/>
      <c r="DK18" s="4"/>
      <c r="DL18" s="7"/>
      <c r="DM18" s="4"/>
      <c r="DN18" s="7"/>
    </row>
    <row r="19" spans="1:118" ht="15" thickBot="1" x14ac:dyDescent="0.35">
      <c r="A19" s="2" t="s">
        <v>88</v>
      </c>
      <c r="B19" s="3" t="s">
        <v>89</v>
      </c>
      <c r="C19" s="3" t="s">
        <v>113</v>
      </c>
      <c r="D19" s="3" t="s">
        <v>113</v>
      </c>
      <c r="E19" s="3" t="s">
        <v>173</v>
      </c>
      <c r="F19" s="3" t="s">
        <v>116</v>
      </c>
      <c r="G19" s="3"/>
      <c r="H19" s="6">
        <f>SUMIF('Sunglasses BOM'!C17:C94,A19,'Sunglasses BOM'!E17:E94)</f>
        <v>16800</v>
      </c>
      <c r="I19" s="32" cm="1">
        <f t="array" ref="I19">SUMPRODUCT((MOD(COLUMN($R19:$FW19)-COLUMN($R19),2)=0)*($R19:$FW19))</f>
        <v>0</v>
      </c>
      <c r="J19" s="10">
        <f t="shared" si="52"/>
        <v>16800</v>
      </c>
      <c r="K19" s="42">
        <f>'Final Processes daily output'!$F$9</f>
        <v>27000</v>
      </c>
      <c r="L19" s="22">
        <f>VLOOKUP(C19,'Molding PP DPR'!$A$4:$D$12,4,FALSE)</f>
        <v>0</v>
      </c>
      <c r="M19" s="22">
        <f>VLOOKUP(E19,'Molding PP DPR'!$A$18:$D$26,4,FALSE)</f>
        <v>0</v>
      </c>
      <c r="N19" s="22">
        <f>MIN(ROUNDDOWN(L19/'Pre assembly BOM'!E17,0),ROUNDDOWN(M19/'Pre assembly BOM'!H17,0))</f>
        <v>0</v>
      </c>
      <c r="O19" s="25">
        <f t="shared" si="53"/>
        <v>0</v>
      </c>
      <c r="P19" s="55">
        <f t="shared" si="54"/>
        <v>0.62222222222222223</v>
      </c>
      <c r="Q19" s="4"/>
      <c r="R19" s="7"/>
      <c r="S19" s="4"/>
      <c r="T19" s="7"/>
      <c r="U19" s="4"/>
      <c r="V19" s="7"/>
      <c r="W19" s="4"/>
      <c r="X19" s="7"/>
      <c r="Y19" s="4"/>
      <c r="Z19" s="7"/>
      <c r="AA19" s="4"/>
      <c r="AB19" s="7"/>
      <c r="AC19" s="4"/>
      <c r="AD19" s="7"/>
      <c r="AE19" s="4"/>
      <c r="AF19" s="7"/>
      <c r="AG19" s="4"/>
      <c r="AH19" s="7"/>
      <c r="AI19" s="4"/>
      <c r="AJ19" s="7"/>
      <c r="AK19" s="4"/>
      <c r="AL19" s="7"/>
      <c r="AM19" s="4"/>
      <c r="AN19" s="7"/>
      <c r="AO19" s="4"/>
      <c r="AP19" s="7"/>
      <c r="AQ19" s="4"/>
      <c r="AR19" s="7"/>
      <c r="AS19" s="4"/>
      <c r="AT19" s="7"/>
      <c r="AU19" s="4"/>
      <c r="AV19" s="7"/>
      <c r="AW19" s="4"/>
      <c r="AX19" s="7"/>
      <c r="AY19" s="4"/>
      <c r="AZ19" s="7"/>
      <c r="BA19" s="4"/>
      <c r="BB19" s="7"/>
      <c r="BC19" s="4"/>
      <c r="BD19" s="7"/>
      <c r="BE19" s="4"/>
      <c r="BF19" s="7"/>
      <c r="BG19" s="4"/>
      <c r="BH19" s="7"/>
      <c r="BI19" s="4"/>
      <c r="BJ19" s="7"/>
      <c r="BK19" s="4"/>
      <c r="BL19" s="7"/>
      <c r="BM19" s="4"/>
      <c r="BN19" s="7"/>
      <c r="BO19" s="4"/>
      <c r="BP19" s="7"/>
      <c r="BQ19" s="4"/>
      <c r="BR19" s="7"/>
      <c r="BS19" s="4"/>
      <c r="BT19" s="7"/>
      <c r="BU19" s="4"/>
      <c r="BV19" s="7"/>
      <c r="BW19" s="4"/>
      <c r="BX19" s="7"/>
      <c r="BY19" s="4"/>
      <c r="BZ19" s="7"/>
      <c r="CA19" s="4"/>
      <c r="CB19" s="7"/>
      <c r="CC19" s="4"/>
      <c r="CD19" s="7"/>
      <c r="CE19" s="4"/>
      <c r="CF19" s="7"/>
      <c r="CG19" s="4"/>
      <c r="CH19" s="7"/>
      <c r="CI19" s="4"/>
      <c r="CJ19" s="7"/>
      <c r="CK19" s="4"/>
      <c r="CL19" s="7"/>
      <c r="CM19" s="4"/>
      <c r="CN19" s="7"/>
      <c r="CO19" s="4"/>
      <c r="CP19" s="7"/>
      <c r="CQ19" s="4"/>
      <c r="CR19" s="7"/>
      <c r="CS19" s="4"/>
      <c r="CT19" s="7"/>
      <c r="CU19" s="4"/>
      <c r="CV19" s="7"/>
      <c r="CW19" s="4"/>
      <c r="CX19" s="7"/>
      <c r="CY19" s="4"/>
      <c r="CZ19" s="7"/>
      <c r="DA19" s="4"/>
      <c r="DB19" s="7"/>
      <c r="DC19" s="4"/>
      <c r="DD19" s="7"/>
      <c r="DE19" s="4"/>
      <c r="DF19" s="7"/>
      <c r="DG19" s="4"/>
      <c r="DH19" s="7"/>
      <c r="DI19" s="4"/>
      <c r="DJ19" s="7"/>
      <c r="DK19" s="4"/>
      <c r="DL19" s="7"/>
      <c r="DM19" s="4"/>
      <c r="DN19" s="7"/>
    </row>
    <row r="20" spans="1:118" ht="15" thickBot="1" x14ac:dyDescent="0.35">
      <c r="A20" s="2" t="s">
        <v>90</v>
      </c>
      <c r="B20" s="3" t="s">
        <v>91</v>
      </c>
      <c r="C20" s="3" t="s">
        <v>159</v>
      </c>
      <c r="D20" s="3" t="s">
        <v>113</v>
      </c>
      <c r="E20" s="3" t="s">
        <v>159</v>
      </c>
      <c r="F20" s="3" t="s">
        <v>113</v>
      </c>
      <c r="G20" s="3"/>
      <c r="H20" s="6">
        <f>SUMIF('Sunglasses BOM'!C18:C95,A20,'Sunglasses BOM'!E18:E95)</f>
        <v>50400</v>
      </c>
      <c r="I20" s="32" cm="1">
        <f t="array" ref="I20">SUMPRODUCT((MOD(COLUMN($R20:$FW20)-COLUMN($R20),2)=0)*($R20:$FW20))</f>
        <v>0</v>
      </c>
      <c r="J20" s="10">
        <f t="shared" si="52"/>
        <v>50400</v>
      </c>
      <c r="K20" s="42">
        <f>'Final Processes daily output'!$F$9</f>
        <v>27000</v>
      </c>
      <c r="L20" s="22">
        <f>VLOOKUP(C20,'Molding PP DPR'!$A$4:$D$12,4,FALSE)</f>
        <v>0</v>
      </c>
      <c r="M20" s="22">
        <f>VLOOKUP(E20,'Molding PP DPR'!$A$18:$D$26,4,FALSE)</f>
        <v>0</v>
      </c>
      <c r="N20" s="22">
        <f>MIN(ROUNDDOWN(L20/'Pre assembly BOM'!E18,0),ROUNDDOWN(M20/'Pre assembly BOM'!H18,0))</f>
        <v>0</v>
      </c>
      <c r="O20" s="25">
        <f t="shared" si="53"/>
        <v>0</v>
      </c>
      <c r="P20" s="55">
        <f t="shared" si="54"/>
        <v>1.8666666666666667</v>
      </c>
      <c r="Q20" s="4"/>
      <c r="R20" s="7"/>
      <c r="S20" s="4"/>
      <c r="T20" s="7"/>
      <c r="U20" s="4"/>
      <c r="V20" s="7"/>
      <c r="W20" s="4"/>
      <c r="X20" s="7"/>
      <c r="Y20" s="4"/>
      <c r="Z20" s="7"/>
      <c r="AA20" s="4"/>
      <c r="AB20" s="7"/>
      <c r="AC20" s="4"/>
      <c r="AD20" s="7"/>
      <c r="AE20" s="4"/>
      <c r="AF20" s="7"/>
      <c r="AG20" s="4"/>
      <c r="AH20" s="7"/>
      <c r="AI20" s="4"/>
      <c r="AJ20" s="7"/>
      <c r="AK20" s="4"/>
      <c r="AL20" s="7"/>
      <c r="AM20" s="4"/>
      <c r="AN20" s="7"/>
      <c r="AO20" s="4"/>
      <c r="AP20" s="7"/>
      <c r="AQ20" s="4"/>
      <c r="AR20" s="7"/>
      <c r="AS20" s="4"/>
      <c r="AT20" s="7"/>
      <c r="AU20" s="4"/>
      <c r="AV20" s="7"/>
      <c r="AW20" s="4"/>
      <c r="AX20" s="7"/>
      <c r="AY20" s="4"/>
      <c r="AZ20" s="7"/>
      <c r="BA20" s="4"/>
      <c r="BB20" s="7"/>
      <c r="BC20" s="4"/>
      <c r="BD20" s="7"/>
      <c r="BE20" s="4"/>
      <c r="BF20" s="7"/>
      <c r="BG20" s="4"/>
      <c r="BH20" s="7"/>
      <c r="BI20" s="4"/>
      <c r="BJ20" s="7"/>
      <c r="BK20" s="4"/>
      <c r="BL20" s="7"/>
      <c r="BM20" s="4"/>
      <c r="BN20" s="7"/>
      <c r="BO20" s="4"/>
      <c r="BP20" s="7"/>
      <c r="BQ20" s="4"/>
      <c r="BR20" s="7"/>
      <c r="BS20" s="4"/>
      <c r="BT20" s="7"/>
      <c r="BU20" s="4"/>
      <c r="BV20" s="7"/>
      <c r="BW20" s="4"/>
      <c r="BX20" s="7"/>
      <c r="BY20" s="4"/>
      <c r="BZ20" s="7"/>
      <c r="CA20" s="4"/>
      <c r="CB20" s="7"/>
      <c r="CC20" s="4"/>
      <c r="CD20" s="7"/>
      <c r="CE20" s="4"/>
      <c r="CF20" s="7"/>
      <c r="CG20" s="4"/>
      <c r="CH20" s="7"/>
      <c r="CI20" s="4"/>
      <c r="CJ20" s="7"/>
      <c r="CK20" s="4"/>
      <c r="CL20" s="7"/>
      <c r="CM20" s="4"/>
      <c r="CN20" s="7"/>
      <c r="CO20" s="4"/>
      <c r="CP20" s="7"/>
      <c r="CQ20" s="4"/>
      <c r="CR20" s="7"/>
      <c r="CS20" s="4"/>
      <c r="CT20" s="7"/>
      <c r="CU20" s="4"/>
      <c r="CV20" s="7"/>
      <c r="CW20" s="4"/>
      <c r="CX20" s="7"/>
      <c r="CY20" s="4"/>
      <c r="CZ20" s="7"/>
      <c r="DA20" s="4"/>
      <c r="DB20" s="7"/>
      <c r="DC20" s="4"/>
      <c r="DD20" s="7"/>
      <c r="DE20" s="4"/>
      <c r="DF20" s="7"/>
      <c r="DG20" s="4"/>
      <c r="DH20" s="7"/>
      <c r="DI20" s="4"/>
      <c r="DJ20" s="7"/>
      <c r="DK20" s="4"/>
      <c r="DL20" s="7"/>
      <c r="DM20" s="4"/>
      <c r="DN20" s="7"/>
    </row>
    <row r="21" spans="1:118" ht="15" thickBot="1" x14ac:dyDescent="0.35">
      <c r="A21" s="2" t="s">
        <v>92</v>
      </c>
      <c r="B21" s="3" t="s">
        <v>93</v>
      </c>
      <c r="C21" s="3" t="s">
        <v>159</v>
      </c>
      <c r="D21" s="3" t="s">
        <v>113</v>
      </c>
      <c r="E21" s="3" t="s">
        <v>159</v>
      </c>
      <c r="F21" s="3" t="s">
        <v>113</v>
      </c>
      <c r="G21" s="3"/>
      <c r="H21" s="6">
        <f>SUMIF('Sunglasses BOM'!C19:C96,A21,'Sunglasses BOM'!E19:E96)</f>
        <v>50400</v>
      </c>
      <c r="I21" s="32" cm="1">
        <f t="array" ref="I21">SUMPRODUCT((MOD(COLUMN($R21:$FW21)-COLUMN($R21),2)=0)*($R21:$FW21))</f>
        <v>0</v>
      </c>
      <c r="J21" s="10">
        <f t="shared" si="52"/>
        <v>50400</v>
      </c>
      <c r="K21" s="42">
        <f>'Final Processes daily output'!$F$9</f>
        <v>27000</v>
      </c>
      <c r="L21" s="22">
        <f>VLOOKUP(C21,'Molding PP DPR'!$A$4:$D$12,4,FALSE)</f>
        <v>0</v>
      </c>
      <c r="M21" s="22">
        <f>VLOOKUP(E21,'Molding PP DPR'!$A$18:$D$26,4,FALSE)</f>
        <v>0</v>
      </c>
      <c r="N21" s="22">
        <f>MIN(ROUNDDOWN(L21/'Pre assembly BOM'!E19,0),ROUNDDOWN(M21/'Pre assembly BOM'!H19,0))</f>
        <v>0</v>
      </c>
      <c r="O21" s="25">
        <f t="shared" si="53"/>
        <v>0</v>
      </c>
      <c r="P21" s="55">
        <f t="shared" si="54"/>
        <v>1.8666666666666667</v>
      </c>
      <c r="Q21" s="4"/>
      <c r="R21" s="7"/>
      <c r="S21" s="4"/>
      <c r="T21" s="7"/>
      <c r="U21" s="4"/>
      <c r="V21" s="7"/>
      <c r="W21" s="4"/>
      <c r="X21" s="7"/>
      <c r="Y21" s="4"/>
      <c r="Z21" s="7"/>
      <c r="AA21" s="4"/>
      <c r="AB21" s="7"/>
      <c r="AC21" s="4"/>
      <c r="AD21" s="7"/>
      <c r="AE21" s="4"/>
      <c r="AF21" s="7"/>
      <c r="AG21" s="4"/>
      <c r="AH21" s="7"/>
      <c r="AI21" s="4"/>
      <c r="AJ21" s="7"/>
      <c r="AK21" s="4"/>
      <c r="AL21" s="7"/>
      <c r="AM21" s="4"/>
      <c r="AN21" s="7"/>
      <c r="AO21" s="4"/>
      <c r="AP21" s="7"/>
      <c r="AQ21" s="4"/>
      <c r="AR21" s="7"/>
      <c r="AS21" s="4"/>
      <c r="AT21" s="7"/>
      <c r="AU21" s="4"/>
      <c r="AV21" s="7"/>
      <c r="AW21" s="4"/>
      <c r="AX21" s="7"/>
      <c r="AY21" s="4"/>
      <c r="AZ21" s="7"/>
      <c r="BA21" s="4"/>
      <c r="BB21" s="7"/>
      <c r="BC21" s="4"/>
      <c r="BD21" s="7"/>
      <c r="BE21" s="4"/>
      <c r="BF21" s="7"/>
      <c r="BG21" s="4"/>
      <c r="BH21" s="7"/>
      <c r="BI21" s="4"/>
      <c r="BJ21" s="7"/>
      <c r="BK21" s="4"/>
      <c r="BL21" s="7"/>
      <c r="BM21" s="4"/>
      <c r="BN21" s="7"/>
      <c r="BO21" s="4"/>
      <c r="BP21" s="7"/>
      <c r="BQ21" s="4"/>
      <c r="BR21" s="7"/>
      <c r="BS21" s="4"/>
      <c r="BT21" s="7"/>
      <c r="BU21" s="4"/>
      <c r="BV21" s="7"/>
      <c r="BW21" s="4"/>
      <c r="BX21" s="7"/>
      <c r="BY21" s="4"/>
      <c r="BZ21" s="7"/>
      <c r="CA21" s="4"/>
      <c r="CB21" s="7"/>
      <c r="CC21" s="4"/>
      <c r="CD21" s="7"/>
      <c r="CE21" s="4"/>
      <c r="CF21" s="7"/>
      <c r="CG21" s="4"/>
      <c r="CH21" s="7"/>
      <c r="CI21" s="4"/>
      <c r="CJ21" s="7"/>
      <c r="CK21" s="4"/>
      <c r="CL21" s="7"/>
      <c r="CM21" s="4"/>
      <c r="CN21" s="7"/>
      <c r="CO21" s="4"/>
      <c r="CP21" s="7"/>
      <c r="CQ21" s="4"/>
      <c r="CR21" s="7"/>
      <c r="CS21" s="4"/>
      <c r="CT21" s="7"/>
      <c r="CU21" s="4"/>
      <c r="CV21" s="7"/>
      <c r="CW21" s="4"/>
      <c r="CX21" s="7"/>
      <c r="CY21" s="4"/>
      <c r="CZ21" s="7"/>
      <c r="DA21" s="4"/>
      <c r="DB21" s="7"/>
      <c r="DC21" s="4"/>
      <c r="DD21" s="7"/>
      <c r="DE21" s="4"/>
      <c r="DF21" s="7"/>
      <c r="DG21" s="4"/>
      <c r="DH21" s="7"/>
      <c r="DI21" s="4"/>
      <c r="DJ21" s="7"/>
      <c r="DK21" s="4"/>
      <c r="DL21" s="7"/>
      <c r="DM21" s="4"/>
      <c r="DN21" s="7"/>
    </row>
    <row r="22" spans="1:118" ht="15" thickBot="1" x14ac:dyDescent="0.35">
      <c r="A22" s="2" t="s">
        <v>94</v>
      </c>
      <c r="B22" s="3" t="s">
        <v>95</v>
      </c>
      <c r="C22" s="3" t="s">
        <v>159</v>
      </c>
      <c r="D22" s="3" t="s">
        <v>113</v>
      </c>
      <c r="E22" s="3" t="s">
        <v>159</v>
      </c>
      <c r="F22" s="3" t="s">
        <v>113</v>
      </c>
      <c r="G22" s="3"/>
      <c r="H22" s="6">
        <f>SUMIF('Sunglasses BOM'!C20:C97,A22,'Sunglasses BOM'!E20:E97)</f>
        <v>8400</v>
      </c>
      <c r="I22" s="32" cm="1">
        <f t="array" ref="I22">SUMPRODUCT((MOD(COLUMN($R22:$FW22)-COLUMN($R22),2)=0)*($R22:$FW22))</f>
        <v>0</v>
      </c>
      <c r="J22" s="10">
        <f t="shared" si="52"/>
        <v>8400</v>
      </c>
      <c r="K22" s="42">
        <f>'Final Processes daily output'!$F$9</f>
        <v>27000</v>
      </c>
      <c r="L22" s="22">
        <f>VLOOKUP(C22,'Molding PP DPR'!$A$4:$D$12,4,FALSE)</f>
        <v>0</v>
      </c>
      <c r="M22" s="22">
        <f>VLOOKUP(E22,'Molding PP DPR'!$A$18:$D$26,4,FALSE)</f>
        <v>0</v>
      </c>
      <c r="N22" s="22">
        <f>MIN(ROUNDDOWN(L22/'Pre assembly BOM'!E20,0),ROUNDDOWN(M22/'Pre assembly BOM'!H20,0))</f>
        <v>0</v>
      </c>
      <c r="O22" s="25">
        <f t="shared" si="53"/>
        <v>0</v>
      </c>
      <c r="P22" s="55">
        <f t="shared" si="54"/>
        <v>0.31111111111111112</v>
      </c>
      <c r="Q22" s="4"/>
      <c r="R22" s="7"/>
      <c r="S22" s="4"/>
      <c r="T22" s="7"/>
      <c r="U22" s="4"/>
      <c r="V22" s="7"/>
      <c r="W22" s="4"/>
      <c r="X22" s="7"/>
      <c r="Y22" s="4"/>
      <c r="Z22" s="7"/>
      <c r="AA22" s="4"/>
      <c r="AB22" s="7"/>
      <c r="AC22" s="4"/>
      <c r="AD22" s="7"/>
      <c r="AE22" s="4"/>
      <c r="AF22" s="7"/>
      <c r="AG22" s="4"/>
      <c r="AH22" s="7"/>
      <c r="AI22" s="4"/>
      <c r="AJ22" s="7"/>
      <c r="AK22" s="4"/>
      <c r="AL22" s="7"/>
      <c r="AM22" s="4"/>
      <c r="AN22" s="7"/>
      <c r="AO22" s="4"/>
      <c r="AP22" s="7"/>
      <c r="AQ22" s="4"/>
      <c r="AR22" s="7"/>
      <c r="AS22" s="4"/>
      <c r="AT22" s="7"/>
      <c r="AU22" s="4"/>
      <c r="AV22" s="7"/>
      <c r="AW22" s="4"/>
      <c r="AX22" s="7"/>
      <c r="AY22" s="4"/>
      <c r="AZ22" s="7"/>
      <c r="BA22" s="4"/>
      <c r="BB22" s="7"/>
      <c r="BC22" s="4"/>
      <c r="BD22" s="7"/>
      <c r="BE22" s="4"/>
      <c r="BF22" s="7"/>
      <c r="BG22" s="4"/>
      <c r="BH22" s="7"/>
      <c r="BI22" s="4"/>
      <c r="BJ22" s="7"/>
      <c r="BK22" s="4"/>
      <c r="BL22" s="7"/>
      <c r="BM22" s="4"/>
      <c r="BN22" s="7"/>
      <c r="BO22" s="4"/>
      <c r="BP22" s="7"/>
      <c r="BQ22" s="4"/>
      <c r="BR22" s="7"/>
      <c r="BS22" s="4"/>
      <c r="BT22" s="7"/>
      <c r="BU22" s="4"/>
      <c r="BV22" s="7"/>
      <c r="BW22" s="4"/>
      <c r="BX22" s="7"/>
      <c r="BY22" s="4"/>
      <c r="BZ22" s="7"/>
      <c r="CA22" s="4"/>
      <c r="CB22" s="7"/>
      <c r="CC22" s="4"/>
      <c r="CD22" s="7"/>
      <c r="CE22" s="4"/>
      <c r="CF22" s="7"/>
      <c r="CG22" s="4"/>
      <c r="CH22" s="7"/>
      <c r="CI22" s="4"/>
      <c r="CJ22" s="7"/>
      <c r="CK22" s="4"/>
      <c r="CL22" s="7"/>
      <c r="CM22" s="4"/>
      <c r="CN22" s="7"/>
      <c r="CO22" s="4"/>
      <c r="CP22" s="7"/>
      <c r="CQ22" s="4"/>
      <c r="CR22" s="7"/>
      <c r="CS22" s="4"/>
      <c r="CT22" s="7"/>
      <c r="CU22" s="4"/>
      <c r="CV22" s="7"/>
      <c r="CW22" s="4"/>
      <c r="CX22" s="7"/>
      <c r="CY22" s="4"/>
      <c r="CZ22" s="7"/>
      <c r="DA22" s="4"/>
      <c r="DB22" s="7"/>
      <c r="DC22" s="4"/>
      <c r="DD22" s="7"/>
      <c r="DE22" s="4"/>
      <c r="DF22" s="7"/>
      <c r="DG22" s="4"/>
      <c r="DH22" s="7"/>
      <c r="DI22" s="4"/>
      <c r="DJ22" s="7"/>
      <c r="DK22" s="4"/>
      <c r="DL22" s="7"/>
      <c r="DM22" s="4"/>
      <c r="DN22" s="7"/>
    </row>
    <row r="23" spans="1:118" ht="15" thickBot="1" x14ac:dyDescent="0.35">
      <c r="A23" s="2" t="s">
        <v>96</v>
      </c>
      <c r="B23" s="3" t="s">
        <v>97</v>
      </c>
      <c r="C23" s="3" t="s">
        <v>159</v>
      </c>
      <c r="D23" s="3" t="s">
        <v>113</v>
      </c>
      <c r="E23" s="3" t="s">
        <v>159</v>
      </c>
      <c r="F23" s="3" t="s">
        <v>113</v>
      </c>
      <c r="G23" s="3"/>
      <c r="H23" s="6">
        <f>SUMIF('Sunglasses BOM'!C21:C98,A23,'Sunglasses BOM'!E21:E98)</f>
        <v>16800</v>
      </c>
      <c r="I23" s="32" cm="1">
        <f t="array" ref="I23">SUMPRODUCT((MOD(COLUMN($R23:$FW23)-COLUMN($R23),2)=0)*($R23:$FW23))</f>
        <v>0</v>
      </c>
      <c r="J23" s="10">
        <f t="shared" si="52"/>
        <v>16800</v>
      </c>
      <c r="K23" s="42">
        <f>'Final Processes daily output'!$F$9</f>
        <v>27000</v>
      </c>
      <c r="L23" s="22">
        <f>VLOOKUP(C23,'Molding PP DPR'!$A$4:$D$12,4,FALSE)</f>
        <v>0</v>
      </c>
      <c r="M23" s="22">
        <f>VLOOKUP(E23,'Molding PP DPR'!$A$18:$D$26,4,FALSE)</f>
        <v>0</v>
      </c>
      <c r="N23" s="22">
        <f>MIN(ROUNDDOWN(L23/'Pre assembly BOM'!E21,0),ROUNDDOWN(M23/'Pre assembly BOM'!H21,0))</f>
        <v>0</v>
      </c>
      <c r="O23" s="25">
        <f t="shared" si="53"/>
        <v>0</v>
      </c>
      <c r="P23" s="55">
        <f t="shared" si="54"/>
        <v>0.62222222222222223</v>
      </c>
      <c r="Q23" s="4"/>
      <c r="R23" s="7"/>
      <c r="S23" s="4"/>
      <c r="T23" s="7"/>
      <c r="U23" s="4"/>
      <c r="V23" s="7"/>
      <c r="W23" s="4"/>
      <c r="X23" s="7"/>
      <c r="Y23" s="4"/>
      <c r="Z23" s="7"/>
      <c r="AA23" s="4"/>
      <c r="AB23" s="7"/>
      <c r="AC23" s="4"/>
      <c r="AD23" s="7"/>
      <c r="AE23" s="4"/>
      <c r="AF23" s="7"/>
      <c r="AG23" s="4"/>
      <c r="AH23" s="7"/>
      <c r="AI23" s="4"/>
      <c r="AJ23" s="7"/>
      <c r="AK23" s="4"/>
      <c r="AL23" s="7"/>
      <c r="AM23" s="4"/>
      <c r="AN23" s="7"/>
      <c r="AO23" s="4"/>
      <c r="AP23" s="7"/>
      <c r="AQ23" s="4"/>
      <c r="AR23" s="7"/>
      <c r="AS23" s="4"/>
      <c r="AT23" s="7"/>
      <c r="AU23" s="4"/>
      <c r="AV23" s="7"/>
      <c r="AW23" s="4"/>
      <c r="AX23" s="7"/>
      <c r="AY23" s="4"/>
      <c r="AZ23" s="7"/>
      <c r="BA23" s="4"/>
      <c r="BB23" s="7"/>
      <c r="BC23" s="4"/>
      <c r="BD23" s="7"/>
      <c r="BE23" s="4"/>
      <c r="BF23" s="7"/>
      <c r="BG23" s="4"/>
      <c r="BH23" s="7"/>
      <c r="BI23" s="4"/>
      <c r="BJ23" s="7"/>
      <c r="BK23" s="4"/>
      <c r="BL23" s="7"/>
      <c r="BM23" s="4"/>
      <c r="BN23" s="7"/>
      <c r="BO23" s="4"/>
      <c r="BP23" s="7"/>
      <c r="BQ23" s="4"/>
      <c r="BR23" s="7"/>
      <c r="BS23" s="4"/>
      <c r="BT23" s="7"/>
      <c r="BU23" s="4"/>
      <c r="BV23" s="7"/>
      <c r="BW23" s="4"/>
      <c r="BX23" s="7"/>
      <c r="BY23" s="4"/>
      <c r="BZ23" s="7"/>
      <c r="CA23" s="4"/>
      <c r="CB23" s="7"/>
      <c r="CC23" s="4"/>
      <c r="CD23" s="7"/>
      <c r="CE23" s="4"/>
      <c r="CF23" s="7"/>
      <c r="CG23" s="4"/>
      <c r="CH23" s="7"/>
      <c r="CI23" s="4"/>
      <c r="CJ23" s="7"/>
      <c r="CK23" s="4"/>
      <c r="CL23" s="7"/>
      <c r="CM23" s="4"/>
      <c r="CN23" s="7"/>
      <c r="CO23" s="4"/>
      <c r="CP23" s="7"/>
      <c r="CQ23" s="4"/>
      <c r="CR23" s="7"/>
      <c r="CS23" s="4"/>
      <c r="CT23" s="7"/>
      <c r="CU23" s="4"/>
      <c r="CV23" s="7"/>
      <c r="CW23" s="4"/>
      <c r="CX23" s="7"/>
      <c r="CY23" s="4"/>
      <c r="CZ23" s="7"/>
      <c r="DA23" s="4"/>
      <c r="DB23" s="7"/>
      <c r="DC23" s="4"/>
      <c r="DD23" s="7"/>
      <c r="DE23" s="4"/>
      <c r="DF23" s="7"/>
      <c r="DG23" s="4"/>
      <c r="DH23" s="7"/>
      <c r="DI23" s="4"/>
      <c r="DJ23" s="7"/>
      <c r="DK23" s="4"/>
      <c r="DL23" s="7"/>
      <c r="DM23" s="4"/>
      <c r="DN23" s="7"/>
    </row>
    <row r="24" spans="1:118" ht="15" thickBot="1" x14ac:dyDescent="0.35">
      <c r="A24" s="2" t="s">
        <v>98</v>
      </c>
      <c r="B24" s="3" t="s">
        <v>99</v>
      </c>
      <c r="C24" s="3" t="s">
        <v>170</v>
      </c>
      <c r="D24" s="3" t="s">
        <v>111</v>
      </c>
      <c r="E24" s="3" t="s">
        <v>171</v>
      </c>
      <c r="F24" s="3" t="s">
        <v>112</v>
      </c>
      <c r="G24" s="3"/>
      <c r="H24" s="6">
        <f>SUMIF('Sunglasses BOM'!C22:C99,A24,'Sunglasses BOM'!E22:E99)</f>
        <v>25200</v>
      </c>
      <c r="I24" s="32" cm="1">
        <f t="array" ref="I24">SUMPRODUCT((MOD(COLUMN($R24:$FW24)-COLUMN($R24),2)=0)*($R24:$FW24))</f>
        <v>0</v>
      </c>
      <c r="J24" s="10">
        <f t="shared" si="52"/>
        <v>25200</v>
      </c>
      <c r="K24" s="42">
        <f>'Final Processes daily output'!$F$9</f>
        <v>27000</v>
      </c>
      <c r="L24" s="22">
        <f>VLOOKUP(C24,'Molding PP DPR'!$A$4:$D$12,4,FALSE)</f>
        <v>0</v>
      </c>
      <c r="M24" s="22">
        <f>VLOOKUP(E24,'Molding PP DPR'!$A$18:$D$26,4,FALSE)</f>
        <v>0</v>
      </c>
      <c r="N24" s="22">
        <f>MIN(ROUNDDOWN(L24/'Pre assembly BOM'!E22,0),ROUNDDOWN(M24/'Pre assembly BOM'!H22,0))</f>
        <v>0</v>
      </c>
      <c r="O24" s="25">
        <f t="shared" si="53"/>
        <v>0</v>
      </c>
      <c r="P24" s="55">
        <f t="shared" si="54"/>
        <v>0.93333333333333335</v>
      </c>
      <c r="Q24" s="4"/>
      <c r="R24" s="7"/>
      <c r="S24" s="4"/>
      <c r="T24" s="7"/>
      <c r="U24" s="4"/>
      <c r="V24" s="7"/>
      <c r="W24" s="4"/>
      <c r="X24" s="7"/>
      <c r="Y24" s="4"/>
      <c r="Z24" s="7"/>
      <c r="AA24" s="4"/>
      <c r="AB24" s="7"/>
      <c r="AC24" s="4"/>
      <c r="AD24" s="7"/>
      <c r="AE24" s="4"/>
      <c r="AF24" s="7"/>
      <c r="AG24" s="4"/>
      <c r="AH24" s="7"/>
      <c r="AI24" s="4"/>
      <c r="AJ24" s="7"/>
      <c r="AK24" s="4"/>
      <c r="AL24" s="7"/>
      <c r="AM24" s="4"/>
      <c r="AN24" s="7"/>
      <c r="AO24" s="4"/>
      <c r="AP24" s="7"/>
      <c r="AQ24" s="4"/>
      <c r="AR24" s="7"/>
      <c r="AS24" s="4"/>
      <c r="AT24" s="7"/>
      <c r="AU24" s="4"/>
      <c r="AV24" s="7"/>
      <c r="AW24" s="4"/>
      <c r="AX24" s="7"/>
      <c r="AY24" s="4"/>
      <c r="AZ24" s="7"/>
      <c r="BA24" s="4"/>
      <c r="BB24" s="7"/>
      <c r="BC24" s="4"/>
      <c r="BD24" s="7"/>
      <c r="BE24" s="4"/>
      <c r="BF24" s="7"/>
      <c r="BG24" s="4"/>
      <c r="BH24" s="7"/>
      <c r="BI24" s="4"/>
      <c r="BJ24" s="7"/>
      <c r="BK24" s="4"/>
      <c r="BL24" s="7"/>
      <c r="BM24" s="4"/>
      <c r="BN24" s="7"/>
      <c r="BO24" s="4"/>
      <c r="BP24" s="7"/>
      <c r="BQ24" s="4"/>
      <c r="BR24" s="7"/>
      <c r="BS24" s="4"/>
      <c r="BT24" s="7"/>
      <c r="BU24" s="4"/>
      <c r="BV24" s="7"/>
      <c r="BW24" s="4"/>
      <c r="BX24" s="7"/>
      <c r="BY24" s="4"/>
      <c r="BZ24" s="7"/>
      <c r="CA24" s="4"/>
      <c r="CB24" s="7"/>
      <c r="CC24" s="4"/>
      <c r="CD24" s="7"/>
      <c r="CE24" s="4"/>
      <c r="CF24" s="7"/>
      <c r="CG24" s="4"/>
      <c r="CH24" s="7"/>
      <c r="CI24" s="4"/>
      <c r="CJ24" s="7"/>
      <c r="CK24" s="4"/>
      <c r="CL24" s="7"/>
      <c r="CM24" s="4"/>
      <c r="CN24" s="7"/>
      <c r="CO24" s="4"/>
      <c r="CP24" s="7"/>
      <c r="CQ24" s="4"/>
      <c r="CR24" s="7"/>
      <c r="CS24" s="4"/>
      <c r="CT24" s="7"/>
      <c r="CU24" s="4"/>
      <c r="CV24" s="7"/>
      <c r="CW24" s="4"/>
      <c r="CX24" s="7"/>
      <c r="CY24" s="4"/>
      <c r="CZ24" s="7"/>
      <c r="DA24" s="4"/>
      <c r="DB24" s="7"/>
      <c r="DC24" s="4"/>
      <c r="DD24" s="7"/>
      <c r="DE24" s="4"/>
      <c r="DF24" s="7"/>
      <c r="DG24" s="4"/>
      <c r="DH24" s="7"/>
      <c r="DI24" s="4"/>
      <c r="DJ24" s="7"/>
      <c r="DK24" s="4"/>
      <c r="DL24" s="7"/>
      <c r="DM24" s="4"/>
      <c r="DN24" s="7"/>
    </row>
    <row r="25" spans="1:118" ht="15" thickBot="1" x14ac:dyDescent="0.35">
      <c r="A25" s="2" t="s">
        <v>100</v>
      </c>
      <c r="B25" s="3" t="s">
        <v>101</v>
      </c>
      <c r="C25" s="3" t="s">
        <v>170</v>
      </c>
      <c r="D25" s="3" t="s">
        <v>111</v>
      </c>
      <c r="E25" s="3" t="s">
        <v>176</v>
      </c>
      <c r="F25" s="3" t="s">
        <v>115</v>
      </c>
      <c r="G25" s="3"/>
      <c r="H25" s="6">
        <f>SUMIF('Sunglasses BOM'!C23:C100,A25,'Sunglasses BOM'!E23:E100)</f>
        <v>8400</v>
      </c>
      <c r="I25" s="32" cm="1">
        <f t="array" ref="I25">SUMPRODUCT((MOD(COLUMN($R25:$FW25)-COLUMN($R25),2)=0)*($R25:$FW25))</f>
        <v>0</v>
      </c>
      <c r="J25" s="10">
        <f t="shared" si="52"/>
        <v>8400</v>
      </c>
      <c r="K25" s="42">
        <f>'Final Processes daily output'!$F$9</f>
        <v>27000</v>
      </c>
      <c r="L25" s="22">
        <f>VLOOKUP(C25,'Molding PP DPR'!$A$4:$D$12,4,FALSE)</f>
        <v>0</v>
      </c>
      <c r="M25" s="22">
        <f>VLOOKUP(E25,'Molding PP DPR'!$A$18:$D$26,4,FALSE)</f>
        <v>0</v>
      </c>
      <c r="N25" s="22">
        <f>MIN(ROUNDDOWN(L25/'Pre assembly BOM'!E23,0),ROUNDDOWN(M25/'Pre assembly BOM'!H23,0))</f>
        <v>0</v>
      </c>
      <c r="O25" s="25">
        <f t="shared" si="53"/>
        <v>0</v>
      </c>
      <c r="P25" s="55">
        <f t="shared" si="54"/>
        <v>0.31111111111111112</v>
      </c>
      <c r="Q25" s="4"/>
      <c r="R25" s="7"/>
      <c r="S25" s="4"/>
      <c r="T25" s="7"/>
      <c r="U25" s="4"/>
      <c r="V25" s="7"/>
      <c r="W25" s="4"/>
      <c r="X25" s="7"/>
      <c r="Y25" s="4"/>
      <c r="Z25" s="7"/>
      <c r="AA25" s="4"/>
      <c r="AB25" s="7"/>
      <c r="AC25" s="4"/>
      <c r="AD25" s="7"/>
      <c r="AE25" s="4"/>
      <c r="AF25" s="7"/>
      <c r="AG25" s="4"/>
      <c r="AH25" s="7"/>
      <c r="AI25" s="4"/>
      <c r="AJ25" s="7"/>
      <c r="AK25" s="4"/>
      <c r="AL25" s="7"/>
      <c r="AM25" s="4"/>
      <c r="AN25" s="7"/>
      <c r="AO25" s="4"/>
      <c r="AP25" s="7"/>
      <c r="AQ25" s="4"/>
      <c r="AR25" s="7"/>
      <c r="AS25" s="4"/>
      <c r="AT25" s="7"/>
      <c r="AU25" s="4"/>
      <c r="AV25" s="7"/>
      <c r="AW25" s="4"/>
      <c r="AX25" s="7"/>
      <c r="AY25" s="4"/>
      <c r="AZ25" s="7"/>
      <c r="BA25" s="4"/>
      <c r="BB25" s="7"/>
      <c r="BC25" s="4"/>
      <c r="BD25" s="7"/>
      <c r="BE25" s="4"/>
      <c r="BF25" s="7"/>
      <c r="BG25" s="4"/>
      <c r="BH25" s="7"/>
      <c r="BI25" s="4"/>
      <c r="BJ25" s="7"/>
      <c r="BK25" s="4"/>
      <c r="BL25" s="7"/>
      <c r="BM25" s="4"/>
      <c r="BN25" s="7"/>
      <c r="BO25" s="4"/>
      <c r="BP25" s="7"/>
      <c r="BQ25" s="4"/>
      <c r="BR25" s="7"/>
      <c r="BS25" s="4"/>
      <c r="BT25" s="7"/>
      <c r="BU25" s="4"/>
      <c r="BV25" s="7"/>
      <c r="BW25" s="4"/>
      <c r="BX25" s="7"/>
      <c r="BY25" s="4"/>
      <c r="BZ25" s="7"/>
      <c r="CA25" s="4"/>
      <c r="CB25" s="7"/>
      <c r="CC25" s="4"/>
      <c r="CD25" s="7"/>
      <c r="CE25" s="4"/>
      <c r="CF25" s="7"/>
      <c r="CG25" s="4"/>
      <c r="CH25" s="7"/>
      <c r="CI25" s="4"/>
      <c r="CJ25" s="7"/>
      <c r="CK25" s="4"/>
      <c r="CL25" s="7"/>
      <c r="CM25" s="4"/>
      <c r="CN25" s="7"/>
      <c r="CO25" s="4"/>
      <c r="CP25" s="7"/>
      <c r="CQ25" s="4"/>
      <c r="CR25" s="7"/>
      <c r="CS25" s="4"/>
      <c r="CT25" s="7"/>
      <c r="CU25" s="4"/>
      <c r="CV25" s="7"/>
      <c r="CW25" s="4"/>
      <c r="CX25" s="7"/>
      <c r="CY25" s="4"/>
      <c r="CZ25" s="7"/>
      <c r="DA25" s="4"/>
      <c r="DB25" s="7"/>
      <c r="DC25" s="4"/>
      <c r="DD25" s="7"/>
      <c r="DE25" s="4"/>
      <c r="DF25" s="7"/>
      <c r="DG25" s="4"/>
      <c r="DH25" s="7"/>
      <c r="DI25" s="4"/>
      <c r="DJ25" s="7"/>
      <c r="DK25" s="4"/>
      <c r="DL25" s="7"/>
      <c r="DM25" s="4"/>
      <c r="DN25" s="7"/>
    </row>
    <row r="26" spans="1:118" ht="15" thickBot="1" x14ac:dyDescent="0.35">
      <c r="A26" s="2" t="s">
        <v>102</v>
      </c>
      <c r="B26" s="3" t="s">
        <v>103</v>
      </c>
      <c r="C26" s="3" t="s">
        <v>178</v>
      </c>
      <c r="D26" s="3" t="s">
        <v>112</v>
      </c>
      <c r="E26" s="3" t="s">
        <v>170</v>
      </c>
      <c r="F26" s="3" t="s">
        <v>111</v>
      </c>
      <c r="G26" s="3"/>
      <c r="H26" s="6">
        <f>SUMIF('Sunglasses BOM'!C24:C101,A26,'Sunglasses BOM'!E24:E101)</f>
        <v>8400</v>
      </c>
      <c r="I26" s="32" cm="1">
        <f t="array" ref="I26">SUMPRODUCT((MOD(COLUMN($R26:$FW26)-COLUMN($R26),2)=0)*($R26:$FW26))</f>
        <v>0</v>
      </c>
      <c r="J26" s="10">
        <f t="shared" si="52"/>
        <v>8400</v>
      </c>
      <c r="K26" s="42">
        <f>'Final Processes daily output'!$F$9</f>
        <v>27000</v>
      </c>
      <c r="L26" s="22">
        <f>VLOOKUP(C26,'Molding PP DPR'!$A$4:$D$12,4,FALSE)</f>
        <v>0</v>
      </c>
      <c r="M26" s="22">
        <f>VLOOKUP(E26,'Molding PP DPR'!$A$18:$D$26,4,FALSE)</f>
        <v>0</v>
      </c>
      <c r="N26" s="22">
        <f>MIN(ROUNDDOWN(L26/'Pre assembly BOM'!E24,0),ROUNDDOWN(M26/'Pre assembly BOM'!H24,0))</f>
        <v>0</v>
      </c>
      <c r="O26" s="25">
        <f t="shared" si="53"/>
        <v>0</v>
      </c>
      <c r="P26" s="55">
        <f t="shared" si="54"/>
        <v>0.31111111111111112</v>
      </c>
      <c r="Q26" s="4"/>
      <c r="R26" s="7"/>
      <c r="S26" s="4"/>
      <c r="T26" s="7"/>
      <c r="U26" s="4"/>
      <c r="V26" s="7"/>
      <c r="W26" s="4"/>
      <c r="X26" s="7"/>
      <c r="Y26" s="4"/>
      <c r="Z26" s="7"/>
      <c r="AA26" s="4"/>
      <c r="AB26" s="7"/>
      <c r="AC26" s="4"/>
      <c r="AD26" s="7"/>
      <c r="AE26" s="4"/>
      <c r="AF26" s="7"/>
      <c r="AG26" s="4"/>
      <c r="AH26" s="7"/>
      <c r="AI26" s="4"/>
      <c r="AJ26" s="7"/>
      <c r="AK26" s="4"/>
      <c r="AL26" s="7"/>
      <c r="AM26" s="4"/>
      <c r="AN26" s="7"/>
      <c r="AO26" s="4"/>
      <c r="AP26" s="7"/>
      <c r="AQ26" s="4"/>
      <c r="AR26" s="7"/>
      <c r="AS26" s="4"/>
      <c r="AT26" s="7"/>
      <c r="AU26" s="4"/>
      <c r="AV26" s="7"/>
      <c r="AW26" s="4"/>
      <c r="AX26" s="7"/>
      <c r="AY26" s="4"/>
      <c r="AZ26" s="7"/>
      <c r="BA26" s="4"/>
      <c r="BB26" s="7"/>
      <c r="BC26" s="4"/>
      <c r="BD26" s="7"/>
      <c r="BE26" s="4"/>
      <c r="BF26" s="7"/>
      <c r="BG26" s="4"/>
      <c r="BH26" s="7"/>
      <c r="BI26" s="4"/>
      <c r="BJ26" s="7"/>
      <c r="BK26" s="4"/>
      <c r="BL26" s="7"/>
      <c r="BM26" s="4"/>
      <c r="BN26" s="7"/>
      <c r="BO26" s="4"/>
      <c r="BP26" s="7"/>
      <c r="BQ26" s="4"/>
      <c r="BR26" s="7"/>
      <c r="BS26" s="4"/>
      <c r="BT26" s="7"/>
      <c r="BU26" s="4"/>
      <c r="BV26" s="7"/>
      <c r="BW26" s="4"/>
      <c r="BX26" s="7"/>
      <c r="BY26" s="4"/>
      <c r="BZ26" s="7"/>
      <c r="CA26" s="4"/>
      <c r="CB26" s="7"/>
      <c r="CC26" s="4"/>
      <c r="CD26" s="7"/>
      <c r="CE26" s="4"/>
      <c r="CF26" s="7"/>
      <c r="CG26" s="4"/>
      <c r="CH26" s="7"/>
      <c r="CI26" s="4"/>
      <c r="CJ26" s="7"/>
      <c r="CK26" s="4"/>
      <c r="CL26" s="7"/>
      <c r="CM26" s="4"/>
      <c r="CN26" s="7"/>
      <c r="CO26" s="4"/>
      <c r="CP26" s="7"/>
      <c r="CQ26" s="4"/>
      <c r="CR26" s="7"/>
      <c r="CS26" s="4"/>
      <c r="CT26" s="7"/>
      <c r="CU26" s="4"/>
      <c r="CV26" s="7"/>
      <c r="CW26" s="4"/>
      <c r="CX26" s="7"/>
      <c r="CY26" s="4"/>
      <c r="CZ26" s="7"/>
      <c r="DA26" s="4"/>
      <c r="DB26" s="7"/>
      <c r="DC26" s="4"/>
      <c r="DD26" s="7"/>
      <c r="DE26" s="4"/>
      <c r="DF26" s="7"/>
      <c r="DG26" s="4"/>
      <c r="DH26" s="7"/>
      <c r="DI26" s="4"/>
      <c r="DJ26" s="7"/>
      <c r="DK26" s="4"/>
      <c r="DL26" s="7"/>
      <c r="DM26" s="4"/>
      <c r="DN26" s="7"/>
    </row>
    <row r="27" spans="1:118" ht="15" thickBot="1" x14ac:dyDescent="0.35">
      <c r="A27" s="4" t="s">
        <v>104</v>
      </c>
      <c r="B27" s="5" t="s">
        <v>105</v>
      </c>
      <c r="C27" s="5" t="s">
        <v>176</v>
      </c>
      <c r="D27" s="5" t="s">
        <v>115</v>
      </c>
      <c r="E27" s="5" t="s">
        <v>170</v>
      </c>
      <c r="F27" s="5" t="s">
        <v>111</v>
      </c>
      <c r="G27" s="5"/>
      <c r="H27" s="6">
        <f>SUMIF('Sunglasses BOM'!C25:C102,A27,'Sunglasses BOM'!E25:E102)</f>
        <v>8400</v>
      </c>
      <c r="I27" s="32" cm="1">
        <f t="array" ref="I27">SUMPRODUCT((MOD(COLUMN($R27:$FW27)-COLUMN($R27),2)=0)*($R27:$FW27))</f>
        <v>0</v>
      </c>
      <c r="J27" s="10">
        <f t="shared" si="52"/>
        <v>8400</v>
      </c>
      <c r="K27" s="42">
        <f>'Final Processes daily output'!$F$9</f>
        <v>27000</v>
      </c>
      <c r="L27" s="22">
        <f>VLOOKUP(C27,'Molding PP DPR'!$A$4:$D$12,4,FALSE)</f>
        <v>0</v>
      </c>
      <c r="M27" s="22">
        <f>VLOOKUP(E27,'Molding PP DPR'!$A$18:$D$26,4,FALSE)</f>
        <v>0</v>
      </c>
      <c r="N27" s="22">
        <f>MIN(ROUNDDOWN(L27/'Pre assembly BOM'!E25,0),ROUNDDOWN(M27/'Pre assembly BOM'!H25,0))</f>
        <v>0</v>
      </c>
      <c r="O27" s="25">
        <f t="shared" si="53"/>
        <v>0</v>
      </c>
      <c r="P27" s="55">
        <f t="shared" si="54"/>
        <v>0.31111111111111112</v>
      </c>
      <c r="Q27" s="4"/>
      <c r="R27" s="7"/>
      <c r="S27" s="4"/>
      <c r="T27" s="7"/>
      <c r="U27" s="4"/>
      <c r="V27" s="7"/>
      <c r="W27" s="4"/>
      <c r="X27" s="7"/>
      <c r="Y27" s="4"/>
      <c r="Z27" s="7"/>
      <c r="AA27" s="4"/>
      <c r="AB27" s="7"/>
      <c r="AC27" s="4"/>
      <c r="AD27" s="7"/>
      <c r="AE27" s="4"/>
      <c r="AF27" s="7"/>
      <c r="AG27" s="4"/>
      <c r="AH27" s="7"/>
      <c r="AI27" s="4"/>
      <c r="AJ27" s="7"/>
      <c r="AK27" s="4"/>
      <c r="AL27" s="7"/>
      <c r="AM27" s="4"/>
      <c r="AN27" s="7"/>
      <c r="AO27" s="4"/>
      <c r="AP27" s="7"/>
      <c r="AQ27" s="4"/>
      <c r="AR27" s="7"/>
      <c r="AS27" s="4"/>
      <c r="AT27" s="7"/>
      <c r="AU27" s="4"/>
      <c r="AV27" s="7"/>
      <c r="AW27" s="4"/>
      <c r="AX27" s="7"/>
      <c r="AY27" s="4"/>
      <c r="AZ27" s="7"/>
      <c r="BA27" s="4"/>
      <c r="BB27" s="7"/>
      <c r="BC27" s="4"/>
      <c r="BD27" s="7"/>
      <c r="BE27" s="4"/>
      <c r="BF27" s="7"/>
      <c r="BG27" s="4"/>
      <c r="BH27" s="7"/>
      <c r="BI27" s="4"/>
      <c r="BJ27" s="7"/>
      <c r="BK27" s="4"/>
      <c r="BL27" s="7"/>
      <c r="BM27" s="4"/>
      <c r="BN27" s="7"/>
      <c r="BO27" s="4"/>
      <c r="BP27" s="7"/>
      <c r="BQ27" s="4"/>
      <c r="BR27" s="7"/>
      <c r="BS27" s="4"/>
      <c r="BT27" s="7"/>
      <c r="BU27" s="4"/>
      <c r="BV27" s="7"/>
      <c r="BW27" s="4"/>
      <c r="BX27" s="7"/>
      <c r="BY27" s="4"/>
      <c r="BZ27" s="7"/>
      <c r="CA27" s="4"/>
      <c r="CB27" s="7"/>
      <c r="CC27" s="4"/>
      <c r="CD27" s="7"/>
      <c r="CE27" s="4"/>
      <c r="CF27" s="7"/>
      <c r="CG27" s="4"/>
      <c r="CH27" s="7"/>
      <c r="CI27" s="4"/>
      <c r="CJ27" s="7"/>
      <c r="CK27" s="4"/>
      <c r="CL27" s="7"/>
      <c r="CM27" s="4"/>
      <c r="CN27" s="7"/>
      <c r="CO27" s="4"/>
      <c r="CP27" s="7"/>
      <c r="CQ27" s="4"/>
      <c r="CR27" s="7"/>
      <c r="CS27" s="4"/>
      <c r="CT27" s="7"/>
      <c r="CU27" s="4"/>
      <c r="CV27" s="7"/>
      <c r="CW27" s="4"/>
      <c r="CX27" s="7"/>
      <c r="CY27" s="4"/>
      <c r="CZ27" s="7"/>
      <c r="DA27" s="4"/>
      <c r="DB27" s="7"/>
      <c r="DC27" s="4"/>
      <c r="DD27" s="7"/>
      <c r="DE27" s="4"/>
      <c r="DF27" s="7"/>
      <c r="DG27" s="4"/>
      <c r="DH27" s="7"/>
      <c r="DI27" s="4"/>
      <c r="DJ27" s="7"/>
      <c r="DK27" s="4"/>
      <c r="DL27" s="7"/>
      <c r="DM27" s="4"/>
      <c r="DN27" s="7"/>
    </row>
  </sheetData>
  <mergeCells count="102">
    <mergeCell ref="U1:V1"/>
    <mergeCell ref="W1:X1"/>
    <mergeCell ref="Y1:Z1"/>
    <mergeCell ref="AA1:AB1"/>
    <mergeCell ref="BM1:BN1"/>
    <mergeCell ref="Q2:R2"/>
    <mergeCell ref="S2:T2"/>
    <mergeCell ref="U2:V2"/>
    <mergeCell ref="W2:X2"/>
    <mergeCell ref="Y2:Z2"/>
    <mergeCell ref="AA2:AB2"/>
    <mergeCell ref="AC2:AD2"/>
    <mergeCell ref="AS2:AT2"/>
    <mergeCell ref="AU2:AV2"/>
    <mergeCell ref="AS1:AT1"/>
    <mergeCell ref="AU1:AV1"/>
    <mergeCell ref="AW1:AX1"/>
    <mergeCell ref="AY1:AZ1"/>
    <mergeCell ref="AC1:AD1"/>
    <mergeCell ref="AE1:AF1"/>
    <mergeCell ref="AG1:AH1"/>
    <mergeCell ref="AI1:AJ1"/>
    <mergeCell ref="AK1:AL1"/>
    <mergeCell ref="AM1:AN1"/>
    <mergeCell ref="AW2:AX2"/>
    <mergeCell ref="AY2:AZ2"/>
    <mergeCell ref="Q1:R1"/>
    <mergeCell ref="S1:T1"/>
    <mergeCell ref="BO1:BP1"/>
    <mergeCell ref="BQ1:BR1"/>
    <mergeCell ref="AE2:AF2"/>
    <mergeCell ref="AG2:AH2"/>
    <mergeCell ref="AI2:AJ2"/>
    <mergeCell ref="AK2:AL2"/>
    <mergeCell ref="AM2:AN2"/>
    <mergeCell ref="AO2:AP2"/>
    <mergeCell ref="BA1:BB1"/>
    <mergeCell ref="BC1:BD1"/>
    <mergeCell ref="BE1:BF1"/>
    <mergeCell ref="BG1:BH1"/>
    <mergeCell ref="BI1:BJ1"/>
    <mergeCell ref="BK1:BL1"/>
    <mergeCell ref="AO1:AP1"/>
    <mergeCell ref="AQ1:AR1"/>
    <mergeCell ref="BC2:BD2"/>
    <mergeCell ref="BE2:BF2"/>
    <mergeCell ref="BG2:BH2"/>
    <mergeCell ref="BI2:BJ2"/>
    <mergeCell ref="BK2:BL2"/>
    <mergeCell ref="BM2:BN2"/>
    <mergeCell ref="AQ2:AR2"/>
    <mergeCell ref="BA2:BB2"/>
    <mergeCell ref="DI1:DJ1"/>
    <mergeCell ref="DK1:DL1"/>
    <mergeCell ref="DM1:DN1"/>
    <mergeCell ref="DA1:DB1"/>
    <mergeCell ref="DC1:DD1"/>
    <mergeCell ref="DE1:DF1"/>
    <mergeCell ref="DG1:DH1"/>
    <mergeCell ref="BS1:BT1"/>
    <mergeCell ref="BU1:BV1"/>
    <mergeCell ref="BW1:BX1"/>
    <mergeCell ref="CW1:CX1"/>
    <mergeCell ref="CY1:CZ1"/>
    <mergeCell ref="CK1:CL1"/>
    <mergeCell ref="CM1:CN1"/>
    <mergeCell ref="CO1:CP1"/>
    <mergeCell ref="CQ1:CR1"/>
    <mergeCell ref="CS1:CT1"/>
    <mergeCell ref="CU1:CV1"/>
    <mergeCell ref="BY1:BZ1"/>
    <mergeCell ref="CA1:CB1"/>
    <mergeCell ref="CC1:CD1"/>
    <mergeCell ref="CE1:CF1"/>
    <mergeCell ref="CG1:CH1"/>
    <mergeCell ref="CI1:CJ1"/>
    <mergeCell ref="CA2:CB2"/>
    <mergeCell ref="CC2:CD2"/>
    <mergeCell ref="CE2:CF2"/>
    <mergeCell ref="CG2:CH2"/>
    <mergeCell ref="CI2:CJ2"/>
    <mergeCell ref="CK2:CL2"/>
    <mergeCell ref="BO2:BP2"/>
    <mergeCell ref="BQ2:BR2"/>
    <mergeCell ref="BS2:BT2"/>
    <mergeCell ref="BU2:BV2"/>
    <mergeCell ref="BW2:BX2"/>
    <mergeCell ref="BY2:BZ2"/>
    <mergeCell ref="DK2:DL2"/>
    <mergeCell ref="DM2:DN2"/>
    <mergeCell ref="CY2:CZ2"/>
    <mergeCell ref="DA2:DB2"/>
    <mergeCell ref="DC2:DD2"/>
    <mergeCell ref="DE2:DF2"/>
    <mergeCell ref="DG2:DH2"/>
    <mergeCell ref="DI2:DJ2"/>
    <mergeCell ref="CM2:CN2"/>
    <mergeCell ref="CO2:CP2"/>
    <mergeCell ref="CQ2:CR2"/>
    <mergeCell ref="CS2:CT2"/>
    <mergeCell ref="CU2:CV2"/>
    <mergeCell ref="CW2:CX2"/>
  </mergeCells>
  <conditionalFormatting sqref="O4:O27">
    <cfRule type="cellIs" dxfId="19" priority="1" operator="lessThan">
      <formula>0</formula>
    </cfRule>
  </conditionalFormatting>
  <conditionalFormatting sqref="Q2:DN2">
    <cfRule type="expression" dxfId="18" priority="2">
      <formula>SUM(Q$4:Q$17)&gt;$K$4</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9600A-DC14-42FA-A8F8-4A3D9D95C7A4}">
  <dimension ref="A1:DI26"/>
  <sheetViews>
    <sheetView workbookViewId="0">
      <selection activeCell="H8" sqref="H8"/>
    </sheetView>
  </sheetViews>
  <sheetFormatPr defaultRowHeight="14.4" x14ac:dyDescent="0.3"/>
  <cols>
    <col min="1" max="1" width="12.77734375" bestFit="1" customWidth="1"/>
    <col min="2" max="2" width="27.6640625" bestFit="1" customWidth="1"/>
    <col min="3" max="3" width="13.44140625" bestFit="1" customWidth="1"/>
    <col min="4" max="4" width="11" bestFit="1" customWidth="1"/>
    <col min="5" max="5" width="7" bestFit="1" customWidth="1"/>
    <col min="6" max="6" width="8.109375" bestFit="1" customWidth="1"/>
    <col min="7" max="7" width="7.33203125" bestFit="1" customWidth="1"/>
    <col min="8" max="8" width="8" bestFit="1" customWidth="1"/>
    <col min="9" max="9" width="8.33203125" bestFit="1" customWidth="1"/>
    <col min="10" max="10" width="8.5546875" bestFit="1" customWidth="1"/>
    <col min="11" max="11" width="8.6640625" bestFit="1" customWidth="1"/>
    <col min="12" max="12" width="7.44140625" bestFit="1" customWidth="1"/>
    <col min="13" max="13" width="6.109375" bestFit="1" customWidth="1"/>
    <col min="14" max="14" width="7.44140625" bestFit="1" customWidth="1"/>
    <col min="15" max="15" width="6.109375" bestFit="1" customWidth="1"/>
    <col min="16" max="16" width="7.44140625" bestFit="1" customWidth="1"/>
    <col min="17" max="17" width="6.109375" bestFit="1" customWidth="1"/>
    <col min="18" max="18" width="7.44140625" bestFit="1" customWidth="1"/>
    <col min="19" max="19" width="6.109375" bestFit="1" customWidth="1"/>
    <col min="20" max="20" width="7.44140625" bestFit="1" customWidth="1"/>
    <col min="21" max="21" width="6.109375" bestFit="1" customWidth="1"/>
    <col min="22" max="22" width="7.44140625" bestFit="1" customWidth="1"/>
    <col min="23" max="23" width="6.109375" bestFit="1" customWidth="1"/>
    <col min="24" max="24" width="7.44140625" bestFit="1" customWidth="1"/>
    <col min="25" max="25" width="6.109375" bestFit="1" customWidth="1"/>
    <col min="26" max="26" width="7.44140625" bestFit="1" customWidth="1"/>
    <col min="27" max="27" width="6.109375" bestFit="1" customWidth="1"/>
    <col min="28" max="28" width="7.44140625" bestFit="1" customWidth="1"/>
    <col min="29" max="29" width="6.109375" bestFit="1" customWidth="1"/>
    <col min="30" max="30" width="7.44140625" bestFit="1" customWidth="1"/>
    <col min="31" max="31" width="6.109375" bestFit="1" customWidth="1"/>
    <col min="32" max="32" width="7.44140625" bestFit="1" customWidth="1"/>
    <col min="33" max="33" width="6.109375" bestFit="1" customWidth="1"/>
    <col min="34" max="34" width="7.44140625" bestFit="1" customWidth="1"/>
    <col min="35" max="35" width="6.109375" bestFit="1" customWidth="1"/>
    <col min="36" max="36" width="7.44140625" bestFit="1" customWidth="1"/>
    <col min="37" max="37" width="6.109375" bestFit="1" customWidth="1"/>
    <col min="38" max="38" width="7.44140625" bestFit="1" customWidth="1"/>
    <col min="39" max="39" width="6.109375" bestFit="1" customWidth="1"/>
    <col min="40" max="40" width="7.44140625" bestFit="1" customWidth="1"/>
    <col min="41" max="41" width="6.109375" bestFit="1" customWidth="1"/>
    <col min="42" max="42" width="7.44140625" bestFit="1" customWidth="1"/>
    <col min="43" max="43" width="6.109375" bestFit="1" customWidth="1"/>
    <col min="44" max="44" width="7.44140625" bestFit="1" customWidth="1"/>
    <col min="45" max="45" width="6.109375" bestFit="1" customWidth="1"/>
    <col min="46" max="46" width="7.44140625" bestFit="1" customWidth="1"/>
    <col min="47" max="47" width="6.109375" bestFit="1" customWidth="1"/>
    <col min="48" max="48" width="7.44140625" bestFit="1" customWidth="1"/>
    <col min="49" max="49" width="6.109375" bestFit="1" customWidth="1"/>
    <col min="50" max="50" width="7.44140625" bestFit="1" customWidth="1"/>
    <col min="51" max="51" width="6.109375" bestFit="1" customWidth="1"/>
    <col min="52" max="52" width="7.44140625" bestFit="1" customWidth="1"/>
    <col min="53" max="53" width="6.109375" bestFit="1" customWidth="1"/>
    <col min="54" max="54" width="7.44140625" bestFit="1" customWidth="1"/>
    <col min="55" max="55" width="6.109375" bestFit="1" customWidth="1"/>
    <col min="56" max="56" width="7.44140625" bestFit="1" customWidth="1"/>
    <col min="57" max="57" width="6.109375" bestFit="1" customWidth="1"/>
    <col min="58" max="58" width="7.44140625" bestFit="1" customWidth="1"/>
    <col min="59" max="59" width="6.109375" bestFit="1" customWidth="1"/>
    <col min="60" max="60" width="7.44140625" bestFit="1" customWidth="1"/>
    <col min="61" max="61" width="6.109375" bestFit="1" customWidth="1"/>
    <col min="62" max="62" width="7.44140625" bestFit="1" customWidth="1"/>
    <col min="63" max="63" width="6.109375" bestFit="1" customWidth="1"/>
    <col min="64" max="64" width="7.44140625" bestFit="1" customWidth="1"/>
    <col min="65" max="65" width="6.109375" bestFit="1" customWidth="1"/>
    <col min="66" max="66" width="7.44140625" bestFit="1" customWidth="1"/>
    <col min="67" max="67" width="6.109375" bestFit="1" customWidth="1"/>
    <col min="68" max="68" width="7.44140625" bestFit="1" customWidth="1"/>
    <col min="69" max="69" width="6.109375" bestFit="1" customWidth="1"/>
    <col min="70" max="70" width="7.44140625" bestFit="1" customWidth="1"/>
    <col min="71" max="71" width="6.109375" bestFit="1" customWidth="1"/>
    <col min="72" max="72" width="7.44140625" bestFit="1" customWidth="1"/>
    <col min="73" max="73" width="6.109375" bestFit="1" customWidth="1"/>
    <col min="74" max="74" width="7.44140625" bestFit="1" customWidth="1"/>
    <col min="75" max="75" width="6.109375" bestFit="1" customWidth="1"/>
    <col min="76" max="76" width="7.44140625" bestFit="1" customWidth="1"/>
    <col min="77" max="77" width="6.109375" bestFit="1" customWidth="1"/>
    <col min="78" max="78" width="7.44140625" bestFit="1" customWidth="1"/>
    <col min="79" max="79" width="6.109375" bestFit="1" customWidth="1"/>
    <col min="80" max="80" width="7.44140625" bestFit="1" customWidth="1"/>
    <col min="81" max="81" width="6.109375" bestFit="1" customWidth="1"/>
    <col min="82" max="82" width="7.44140625" bestFit="1" customWidth="1"/>
    <col min="83" max="83" width="6.109375" bestFit="1" customWidth="1"/>
    <col min="84" max="84" width="7.44140625" bestFit="1" customWidth="1"/>
    <col min="85" max="85" width="6.109375" bestFit="1" customWidth="1"/>
    <col min="86" max="86" width="7.44140625" bestFit="1" customWidth="1"/>
    <col min="87" max="87" width="6.109375" bestFit="1" customWidth="1"/>
    <col min="88" max="88" width="7.44140625" bestFit="1" customWidth="1"/>
    <col min="89" max="89" width="6.109375" bestFit="1" customWidth="1"/>
    <col min="90" max="90" width="7.44140625" bestFit="1" customWidth="1"/>
    <col min="91" max="91" width="6.109375" bestFit="1" customWidth="1"/>
    <col min="92" max="92" width="7.44140625" bestFit="1" customWidth="1"/>
    <col min="93" max="93" width="6.109375" bestFit="1" customWidth="1"/>
    <col min="94" max="94" width="7.44140625" bestFit="1" customWidth="1"/>
    <col min="95" max="95" width="6.109375" bestFit="1" customWidth="1"/>
    <col min="96" max="96" width="7.44140625" bestFit="1" customWidth="1"/>
    <col min="97" max="97" width="6.109375" bestFit="1" customWidth="1"/>
    <col min="98" max="98" width="7.44140625" bestFit="1" customWidth="1"/>
    <col min="99" max="99" width="6.109375" bestFit="1" customWidth="1"/>
    <col min="100" max="100" width="7.44140625" bestFit="1" customWidth="1"/>
    <col min="101" max="101" width="6.109375" bestFit="1" customWidth="1"/>
    <col min="102" max="102" width="7.44140625" bestFit="1" customWidth="1"/>
    <col min="103" max="103" width="6.109375" bestFit="1" customWidth="1"/>
    <col min="104" max="104" width="7.44140625" bestFit="1" customWidth="1"/>
    <col min="105" max="105" width="6.109375" bestFit="1" customWidth="1"/>
    <col min="106" max="106" width="7.44140625" bestFit="1" customWidth="1"/>
    <col min="107" max="107" width="6.109375" bestFit="1" customWidth="1"/>
    <col min="108" max="108" width="7.44140625" bestFit="1" customWidth="1"/>
    <col min="109" max="109" width="6.109375" bestFit="1" customWidth="1"/>
    <col min="110" max="110" width="7.44140625" bestFit="1" customWidth="1"/>
    <col min="111" max="111" width="6.109375" bestFit="1" customWidth="1"/>
    <col min="112" max="112" width="7.44140625" bestFit="1" customWidth="1"/>
    <col min="113" max="113" width="6.109375" bestFit="1" customWidth="1"/>
  </cols>
  <sheetData>
    <row r="1" spans="1:113"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row>
    <row r="2" spans="1:113"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row>
    <row r="3" spans="1:113" ht="57.6" x14ac:dyDescent="0.3">
      <c r="A3" s="38" t="s">
        <v>505</v>
      </c>
      <c r="B3" s="39" t="s">
        <v>3</v>
      </c>
      <c r="C3" s="49" t="s">
        <v>180</v>
      </c>
      <c r="D3" s="49" t="s">
        <v>503</v>
      </c>
      <c r="E3" s="40" t="s">
        <v>419</v>
      </c>
      <c r="F3" s="51" t="s">
        <v>420</v>
      </c>
      <c r="G3" s="52" t="s">
        <v>421</v>
      </c>
      <c r="H3" s="38" t="s">
        <v>423</v>
      </c>
      <c r="I3" s="39" t="s">
        <v>540</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row>
    <row r="4" spans="1:113"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output'!$F$12</f>
        <v>27000</v>
      </c>
      <c r="I4" s="22">
        <f>_xlfn.XLOOKUP(A4,'Screwing Pramara- DPR - ABS'!$A$4:$A$26,'Screwing Pramara- DPR - ABS'!$F$4:$F$26)</f>
        <v>0</v>
      </c>
      <c r="J4" s="23">
        <f>I4-F4</f>
        <v>0</v>
      </c>
      <c r="K4" s="54">
        <f t="shared" ref="K4:K17" si="49">G4/H4</f>
        <v>8.0888888888888886</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row>
    <row r="5" spans="1:113" x14ac:dyDescent="0.3">
      <c r="A5" s="2" t="s">
        <v>11</v>
      </c>
      <c r="B5" s="3" t="s">
        <v>12</v>
      </c>
      <c r="C5" s="3" t="s">
        <v>156</v>
      </c>
      <c r="D5" s="3" t="s">
        <v>131</v>
      </c>
      <c r="E5" s="6">
        <f>SUMIF('Sunglasses BOM'!$D$1:$D$79,B5,'Sunglasses BOM'!$E$1:$E$79)</f>
        <v>100800</v>
      </c>
      <c r="F5" s="32" cm="1">
        <f t="array" ref="F5">SUMPRODUCT((MOD(COLUMN($M5:$FR5)-COLUMN($M5),2)=0)*($M5:$FR5))</f>
        <v>0</v>
      </c>
      <c r="G5" s="9">
        <f t="shared" ref="G5:G17" si="50">E5-F5</f>
        <v>100800</v>
      </c>
      <c r="H5" s="42">
        <f>'Final Processes daily output'!$F$12</f>
        <v>27000</v>
      </c>
      <c r="I5" s="22">
        <f>_xlfn.XLOOKUP(A5,'Screwing Pramara- DPR - ABS'!$A$4:$A$26,'Screwing Pramara- DPR - ABS'!$F$4:$F$26)</f>
        <v>0</v>
      </c>
      <c r="J5" s="23">
        <f t="shared" ref="J5:J26" si="51">I5-F5</f>
        <v>0</v>
      </c>
      <c r="K5" s="54">
        <f t="shared" si="49"/>
        <v>3.7333333333333334</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row>
    <row r="6" spans="1:113" x14ac:dyDescent="0.3">
      <c r="A6" s="2" t="s">
        <v>13</v>
      </c>
      <c r="B6" s="3" t="s">
        <v>14</v>
      </c>
      <c r="C6" s="3" t="s">
        <v>157</v>
      </c>
      <c r="D6" s="3" t="s">
        <v>116</v>
      </c>
      <c r="E6" s="6">
        <f>SUMIF('Sunglasses BOM'!$D$1:$D$79,B6,'Sunglasses BOM'!$E$1:$E$79)</f>
        <v>151200</v>
      </c>
      <c r="F6" s="32" cm="1">
        <f t="array" ref="F6">SUMPRODUCT((MOD(COLUMN($M6:$FR6)-COLUMN($M6),2)=0)*($M6:$FR6))</f>
        <v>0</v>
      </c>
      <c r="G6" s="9">
        <f t="shared" si="50"/>
        <v>151200</v>
      </c>
      <c r="H6" s="42">
        <f>'Final Processes daily output'!$F$12</f>
        <v>27000</v>
      </c>
      <c r="I6" s="22">
        <f>_xlfn.XLOOKUP(A6,'Screwing Pramara- DPR - ABS'!$A$4:$A$26,'Screwing Pramara- DPR - ABS'!$F$4:$F$26)</f>
        <v>0</v>
      </c>
      <c r="J6" s="23">
        <f t="shared" si="51"/>
        <v>0</v>
      </c>
      <c r="K6" s="54">
        <f t="shared" si="49"/>
        <v>5.6</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row>
    <row r="7" spans="1:113" x14ac:dyDescent="0.3">
      <c r="A7" s="2" t="s">
        <v>15</v>
      </c>
      <c r="B7" s="3" t="s">
        <v>16</v>
      </c>
      <c r="C7" s="3" t="s">
        <v>158</v>
      </c>
      <c r="D7" s="3" t="s">
        <v>132</v>
      </c>
      <c r="E7" s="6">
        <f>SUMIF('Sunglasses BOM'!$D$1:$D$79,B7,'Sunglasses BOM'!$E$1:$E$79)</f>
        <v>100800</v>
      </c>
      <c r="F7" s="32" cm="1">
        <f t="array" ref="F7">SUMPRODUCT((MOD(COLUMN($M7:$FR7)-COLUMN($M7),2)=0)*($M7:$FR7))</f>
        <v>0</v>
      </c>
      <c r="G7" s="9">
        <f t="shared" si="50"/>
        <v>100800</v>
      </c>
      <c r="H7" s="42">
        <f>'Final Processes daily output'!$F$12</f>
        <v>27000</v>
      </c>
      <c r="I7" s="22">
        <f>_xlfn.XLOOKUP(A7,'Screwing Pramara- DPR - ABS'!$A$4:$A$26,'Screwing Pramara- DPR - ABS'!$F$4:$F$26)</f>
        <v>0</v>
      </c>
      <c r="J7" s="23">
        <f t="shared" si="51"/>
        <v>0</v>
      </c>
      <c r="K7" s="54">
        <f t="shared" si="49"/>
        <v>3.7333333333333334</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row>
    <row r="8" spans="1:113" x14ac:dyDescent="0.3">
      <c r="A8" s="2" t="s">
        <v>17</v>
      </c>
      <c r="B8" s="3" t="s">
        <v>18</v>
      </c>
      <c r="C8" s="3" t="s">
        <v>159</v>
      </c>
      <c r="D8" s="3" t="s">
        <v>113</v>
      </c>
      <c r="E8" s="6">
        <f>SUMIF('Sunglasses BOM'!$D$1:$D$79,B8,'Sunglasses BOM'!$E$1:$E$79)</f>
        <v>134400</v>
      </c>
      <c r="F8" s="32" cm="1">
        <f t="array" ref="F8">SUMPRODUCT((MOD(COLUMN($M8:$FR8)-COLUMN($M8),2)=0)*($M8:$FR8))</f>
        <v>0</v>
      </c>
      <c r="G8" s="9">
        <f t="shared" si="50"/>
        <v>134400</v>
      </c>
      <c r="H8" s="42">
        <f>'Final Processes daily output'!$F$12</f>
        <v>27000</v>
      </c>
      <c r="I8" s="22">
        <f>_xlfn.XLOOKUP(A8,'Screwing Pramara- DPR - ABS'!$A$4:$A$26,'Screwing Pramara- DPR - ABS'!$F$4:$F$26)</f>
        <v>0</v>
      </c>
      <c r="J8" s="23">
        <f t="shared" si="51"/>
        <v>0</v>
      </c>
      <c r="K8" s="54">
        <f t="shared" si="49"/>
        <v>4.9777777777777779</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row>
    <row r="9" spans="1:113" x14ac:dyDescent="0.3">
      <c r="A9" s="2" t="s">
        <v>21</v>
      </c>
      <c r="B9" s="3" t="s">
        <v>22</v>
      </c>
      <c r="C9" s="3" t="s">
        <v>160</v>
      </c>
      <c r="D9" s="3" t="s">
        <v>112</v>
      </c>
      <c r="E9" s="6">
        <f>SUMIF('Sunglasses BOM'!$D$1:$D$79,B9,'Sunglasses BOM'!$E$1:$E$79)</f>
        <v>33600</v>
      </c>
      <c r="F9" s="32" cm="1">
        <f t="array" ref="F9">SUMPRODUCT((MOD(COLUMN($M9:$FR9)-COLUMN($M9),2)=0)*($M9:$FR9))</f>
        <v>0</v>
      </c>
      <c r="G9" s="9">
        <f t="shared" si="50"/>
        <v>33600</v>
      </c>
      <c r="H9" s="42">
        <f>'Final Processes daily output'!$F$12</f>
        <v>27000</v>
      </c>
      <c r="I9" s="22">
        <f>_xlfn.XLOOKUP(A9,'Screwing Pramara- DPR - ABS'!$A$4:$A$26,'Screwing Pramara- DPR - ABS'!$F$4:$F$26)</f>
        <v>0</v>
      </c>
      <c r="J9" s="23">
        <f t="shared" si="51"/>
        <v>0</v>
      </c>
      <c r="K9" s="54">
        <f t="shared" si="49"/>
        <v>1.2444444444444445</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row>
    <row r="10" spans="1:113" x14ac:dyDescent="0.3">
      <c r="A10" s="2" t="s">
        <v>23</v>
      </c>
      <c r="B10" s="3" t="s">
        <v>24</v>
      </c>
      <c r="C10" s="3" t="s">
        <v>160</v>
      </c>
      <c r="D10" s="3" t="s">
        <v>112</v>
      </c>
      <c r="E10" s="6">
        <f>SUMIF('Sunglasses BOM'!$D$1:$D$79,B10,'Sunglasses BOM'!$E$1:$E$79)</f>
        <v>16800</v>
      </c>
      <c r="F10" s="32" cm="1">
        <f t="array" ref="F10">SUMPRODUCT((MOD(COLUMN($M10:$FR10)-COLUMN($M10),2)=0)*($M10:$FR10))</f>
        <v>0</v>
      </c>
      <c r="G10" s="9">
        <f t="shared" si="50"/>
        <v>16800</v>
      </c>
      <c r="H10" s="42">
        <f>'Final Processes daily output'!$F$12</f>
        <v>27000</v>
      </c>
      <c r="I10" s="22">
        <f>_xlfn.XLOOKUP(A10,'Screwing Pramara- DPR - ABS'!$A$4:$A$26,'Screwing Pramara- DPR - ABS'!$F$4:$F$26)</f>
        <v>0</v>
      </c>
      <c r="J10" s="23">
        <f t="shared" si="51"/>
        <v>0</v>
      </c>
      <c r="K10" s="54">
        <f t="shared" si="49"/>
        <v>0.62222222222222223</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row>
    <row r="11" spans="1:113"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si="50"/>
        <v>25200</v>
      </c>
      <c r="H11" s="42">
        <f>'Final Processes daily output'!$F$12</f>
        <v>27000</v>
      </c>
      <c r="I11" s="22">
        <f>_xlfn.XLOOKUP(A11,'Screwing Pramara- DPR - ABS'!$A$4:$A$26,'Screwing Pramara- DPR - ABS'!$F$4:$F$26)</f>
        <v>0</v>
      </c>
      <c r="J11" s="23">
        <f t="shared" si="51"/>
        <v>0</v>
      </c>
      <c r="K11" s="55">
        <f t="shared" si="49"/>
        <v>0.93333333333333335</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row>
    <row r="12" spans="1:113"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0"/>
        <v>8400</v>
      </c>
      <c r="H12" s="42">
        <f>'Final Processes daily output'!$F$12</f>
        <v>27000</v>
      </c>
      <c r="I12" s="22">
        <f>_xlfn.XLOOKUP(A12,'Screwing Pramara- DPR - ABS'!$A$4:$A$26,'Screwing Pramara- DPR - ABS'!$F$4:$F$26)</f>
        <v>0</v>
      </c>
      <c r="J12" s="23">
        <f t="shared" si="51"/>
        <v>0</v>
      </c>
      <c r="K12" s="55">
        <f t="shared" si="49"/>
        <v>0.31111111111111112</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row>
    <row r="13" spans="1:113"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0"/>
        <v>42000</v>
      </c>
      <c r="H13" s="42">
        <f>'Final Processes daily output'!$F$12</f>
        <v>27000</v>
      </c>
      <c r="I13" s="22">
        <f>_xlfn.XLOOKUP(A13,'Screwing Pramara- DPR - ABS'!$A$4:$A$26,'Screwing Pramara- DPR - ABS'!$F$4:$F$26)</f>
        <v>0</v>
      </c>
      <c r="J13" s="23">
        <f t="shared" si="51"/>
        <v>0</v>
      </c>
      <c r="K13" s="55">
        <f t="shared" si="49"/>
        <v>1.5555555555555556</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row>
    <row r="14" spans="1:113"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0"/>
        <v>25200</v>
      </c>
      <c r="H14" s="42">
        <f>'Final Processes daily output'!$F$12</f>
        <v>27000</v>
      </c>
      <c r="I14" s="22">
        <f>_xlfn.XLOOKUP(A14,'Screwing Pramara- DPR - ABS'!$A$4:$A$26,'Screwing Pramara- DPR - ABS'!$F$4:$F$26)</f>
        <v>0</v>
      </c>
      <c r="J14" s="23">
        <f t="shared" si="51"/>
        <v>0</v>
      </c>
      <c r="K14" s="55">
        <f t="shared" si="49"/>
        <v>0.93333333333333335</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row>
    <row r="15" spans="1:113"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0"/>
        <v>16800</v>
      </c>
      <c r="H15" s="42">
        <f>'Final Processes daily output'!$F$12</f>
        <v>27000</v>
      </c>
      <c r="I15" s="22">
        <f>_xlfn.XLOOKUP(A15,'Screwing Pramara- DPR - ABS'!$A$4:$A$26,'Screwing Pramara- DPR - ABS'!$F$4:$F$26)</f>
        <v>0</v>
      </c>
      <c r="J15" s="23">
        <f t="shared" si="51"/>
        <v>0</v>
      </c>
      <c r="K15" s="55">
        <f t="shared" si="49"/>
        <v>0.62222222222222223</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row>
    <row r="16" spans="1:113"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0"/>
        <v>16800</v>
      </c>
      <c r="H16" s="42">
        <f>'Final Processes daily output'!$F$12</f>
        <v>27000</v>
      </c>
      <c r="I16" s="22">
        <f>_xlfn.XLOOKUP(A16,'Screwing Pramara- DPR - ABS'!$A$4:$A$26,'Screwing Pramara- DPR - ABS'!$F$4:$F$26)</f>
        <v>0</v>
      </c>
      <c r="J16" s="23">
        <f t="shared" si="51"/>
        <v>0</v>
      </c>
      <c r="K16" s="55">
        <f t="shared" si="49"/>
        <v>0.62222222222222223</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row>
    <row r="17" spans="1:113"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0"/>
        <v>16800</v>
      </c>
      <c r="H17" s="42">
        <f>'Final Processes daily output'!$F$12</f>
        <v>27000</v>
      </c>
      <c r="I17" s="22">
        <f>_xlfn.XLOOKUP(A17,'Screwing Pramara- DPR - ABS'!$A$4:$A$26,'Screwing Pramara- DPR - ABS'!$F$4:$F$26)</f>
        <v>0</v>
      </c>
      <c r="J17" s="23">
        <f t="shared" si="51"/>
        <v>0</v>
      </c>
      <c r="K17" s="55">
        <f t="shared" si="49"/>
        <v>0.62222222222222223</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row>
    <row r="18" spans="1:113" x14ac:dyDescent="0.3">
      <c r="A18" s="2" t="s">
        <v>25</v>
      </c>
      <c r="B18" s="3" t="s">
        <v>26</v>
      </c>
      <c r="C18" s="3" t="s">
        <v>161</v>
      </c>
      <c r="D18" s="3" t="s">
        <v>114</v>
      </c>
      <c r="E18" s="6">
        <f>SUMIF('Sunglasses BOM'!$D$1:$D$79,B18,'Sunglasses BOM'!$E$1:$E$79)</f>
        <v>25200</v>
      </c>
      <c r="F18" s="2" cm="1">
        <f t="array" ref="F18">SUMPRODUCT((MOD(COLUMN($M18:$FR18)-COLUMN($M18),2)=0)*($M18:$FR18))</f>
        <v>0</v>
      </c>
      <c r="G18" s="9">
        <f t="shared" ref="G18:G26" si="52">E18-F18</f>
        <v>25200</v>
      </c>
      <c r="H18" s="42">
        <f>'Final Processes daily output'!$F$12</f>
        <v>27000</v>
      </c>
      <c r="I18" s="22">
        <f>_xlfn.XLOOKUP(A18,'Screwing Pramara- DPR - ABS'!$A$4:$A$26,'Screwing Pramara- DPR - ABS'!$F$4:$F$26)</f>
        <v>0</v>
      </c>
      <c r="J18" s="23">
        <f t="shared" si="51"/>
        <v>0</v>
      </c>
      <c r="K18" s="23">
        <f t="shared" ref="K18:K26" si="53">G18/H18</f>
        <v>0.93333333333333335</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6"/>
    </row>
    <row r="19" spans="1:113" ht="15" thickBot="1" x14ac:dyDescent="0.35">
      <c r="A19" s="2" t="s">
        <v>27</v>
      </c>
      <c r="B19" s="3" t="s">
        <v>28</v>
      </c>
      <c r="C19" s="3" t="s">
        <v>162</v>
      </c>
      <c r="D19" s="3" t="s">
        <v>115</v>
      </c>
      <c r="E19" s="6">
        <f>SUMIF('Sunglasses BOM'!$D$1:$D$79,B19,'Sunglasses BOM'!$E$1:$E$79)</f>
        <v>16800</v>
      </c>
      <c r="F19" s="2" cm="1">
        <f t="array" ref="F19">SUMPRODUCT((MOD(COLUMN($M19:$FR19)-COLUMN($M19),2)=0)*($M19:$FR19))</f>
        <v>0</v>
      </c>
      <c r="G19" s="9">
        <f t="shared" si="52"/>
        <v>16800</v>
      </c>
      <c r="H19" s="42">
        <f>'Final Processes daily output'!$F$12</f>
        <v>27000</v>
      </c>
      <c r="I19" s="22">
        <f>_xlfn.XLOOKUP(A19,'Screwing Pramara- DPR - ABS'!$A$4:$A$26,'Screwing Pramara- DPR - ABS'!$F$4:$F$26)</f>
        <v>0</v>
      </c>
      <c r="J19" s="23">
        <f t="shared" si="51"/>
        <v>0</v>
      </c>
      <c r="K19" s="23">
        <f t="shared" si="53"/>
        <v>0.62222222222222223</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7"/>
    </row>
    <row r="20" spans="1:113" ht="15" thickBot="1" x14ac:dyDescent="0.35">
      <c r="A20" s="2" t="s">
        <v>29</v>
      </c>
      <c r="B20" s="3" t="s">
        <v>30</v>
      </c>
      <c r="C20" s="3" t="s">
        <v>162</v>
      </c>
      <c r="D20" s="3" t="s">
        <v>115</v>
      </c>
      <c r="E20" s="6">
        <f>SUMIF('Sunglasses BOM'!$D$1:$D$79,B20,'Sunglasses BOM'!$E$1:$E$79)</f>
        <v>8400</v>
      </c>
      <c r="F20" s="2" cm="1">
        <f t="array" ref="F20">SUMPRODUCT((MOD(COLUMN($M20:$FR20)-COLUMN($M20),2)=0)*($M20:$FR20))</f>
        <v>0</v>
      </c>
      <c r="G20" s="9">
        <f t="shared" si="52"/>
        <v>8400</v>
      </c>
      <c r="H20" s="42">
        <f>'Final Processes daily output'!$F$12</f>
        <v>27000</v>
      </c>
      <c r="I20" s="22">
        <f>_xlfn.XLOOKUP(A20,'Screwing Pramara- DPR - ABS'!$A$4:$A$26,'Screwing Pramara- DPR - ABS'!$F$4:$F$26)</f>
        <v>0</v>
      </c>
      <c r="J20" s="23">
        <f t="shared" si="51"/>
        <v>0</v>
      </c>
      <c r="K20" s="23">
        <f t="shared" si="53"/>
        <v>0.31111111111111112</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7"/>
    </row>
    <row r="21" spans="1:113" ht="15" thickBot="1" x14ac:dyDescent="0.35">
      <c r="A21" s="2" t="s">
        <v>35</v>
      </c>
      <c r="B21" s="3" t="s">
        <v>36</v>
      </c>
      <c r="C21" s="3" t="s">
        <v>164</v>
      </c>
      <c r="D21" s="3" t="s">
        <v>117</v>
      </c>
      <c r="E21" s="6">
        <f>SUMIF('Sunglasses BOM'!$D$1:$D$79,B21,'Sunglasses BOM'!$E$1:$E$79)</f>
        <v>8400</v>
      </c>
      <c r="F21" s="2" cm="1">
        <f t="array" ref="F21">SUMPRODUCT((MOD(COLUMN($M21:$FR21)-COLUMN($M21),2)=0)*($M21:$FR21))</f>
        <v>0</v>
      </c>
      <c r="G21" s="9">
        <f t="shared" si="52"/>
        <v>8400</v>
      </c>
      <c r="H21" s="42">
        <f>'Final Processes daily output'!$F$12</f>
        <v>27000</v>
      </c>
      <c r="I21" s="22">
        <f>_xlfn.XLOOKUP(A21,'Screwing Pramara- DPR - ABS'!$A$4:$A$26,'Screwing Pramara- DPR - ABS'!$F$4:$F$26)</f>
        <v>0</v>
      </c>
      <c r="J21" s="23">
        <f t="shared" si="51"/>
        <v>0</v>
      </c>
      <c r="K21" s="23">
        <f t="shared" si="53"/>
        <v>0.31111111111111112</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7"/>
    </row>
    <row r="22" spans="1:113" ht="15" thickBot="1" x14ac:dyDescent="0.35">
      <c r="A22" s="2" t="s">
        <v>47</v>
      </c>
      <c r="B22" s="3" t="s">
        <v>48</v>
      </c>
      <c r="C22" s="3" t="s">
        <v>165</v>
      </c>
      <c r="D22" s="3" t="s">
        <v>127</v>
      </c>
      <c r="E22" s="6">
        <f>SUMIF('Sunglasses BOM'!$D$1:$D$79,B22,'Sunglasses BOM'!$E$1:$E$79)</f>
        <v>16800</v>
      </c>
      <c r="F22" s="2" cm="1">
        <f t="array" ref="F22">SUMPRODUCT((MOD(COLUMN($M22:$FR22)-COLUMN($M22),2)=0)*($M22:$FR22))</f>
        <v>0</v>
      </c>
      <c r="G22" s="9">
        <f t="shared" si="52"/>
        <v>16800</v>
      </c>
      <c r="H22" s="42">
        <f>'Final Processes daily output'!$F$12</f>
        <v>27000</v>
      </c>
      <c r="I22" s="22">
        <f>_xlfn.XLOOKUP(A22,'Screwing Pramara- DPR - ABS'!$A$4:$A$26,'Screwing Pramara- DPR - ABS'!$F$4:$F$26)</f>
        <v>0</v>
      </c>
      <c r="J22" s="23">
        <f t="shared" si="51"/>
        <v>0</v>
      </c>
      <c r="K22" s="23">
        <f t="shared" si="53"/>
        <v>0.62222222222222223</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7"/>
    </row>
    <row r="23" spans="1:113" ht="15" thickBot="1" x14ac:dyDescent="0.35">
      <c r="A23" s="2" t="s">
        <v>49</v>
      </c>
      <c r="B23" s="3" t="s">
        <v>50</v>
      </c>
      <c r="C23" s="3" t="s">
        <v>166</v>
      </c>
      <c r="D23" s="3" t="s">
        <v>128</v>
      </c>
      <c r="E23" s="6">
        <f>SUMIF('Sunglasses BOM'!$D$1:$D$79,B23,'Sunglasses BOM'!$E$1:$E$79)</f>
        <v>25200</v>
      </c>
      <c r="F23" s="2" cm="1">
        <f t="array" ref="F23">SUMPRODUCT((MOD(COLUMN($M23:$FR23)-COLUMN($M23),2)=0)*($M23:$FR23))</f>
        <v>0</v>
      </c>
      <c r="G23" s="9">
        <f t="shared" si="52"/>
        <v>25200</v>
      </c>
      <c r="H23" s="42">
        <f>'Final Processes daily output'!$F$12</f>
        <v>27000</v>
      </c>
      <c r="I23" s="22">
        <f>_xlfn.XLOOKUP(A23,'Screwing Pramara- DPR - ABS'!$A$4:$A$26,'Screwing Pramara- DPR - ABS'!$F$4:$F$26)</f>
        <v>0</v>
      </c>
      <c r="J23" s="23">
        <f t="shared" si="51"/>
        <v>0</v>
      </c>
      <c r="K23" s="23">
        <f t="shared" si="53"/>
        <v>0.93333333333333335</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7"/>
    </row>
    <row r="24" spans="1:113" ht="15" thickBot="1" x14ac:dyDescent="0.35">
      <c r="A24" s="2" t="s">
        <v>51</v>
      </c>
      <c r="B24" s="3" t="s">
        <v>52</v>
      </c>
      <c r="C24" s="3" t="s">
        <v>167</v>
      </c>
      <c r="D24" s="3" t="s">
        <v>129</v>
      </c>
      <c r="E24" s="6">
        <f>SUMIF('Sunglasses BOM'!$D$1:$D$79,B24,'Sunglasses BOM'!$E$1:$E$79)</f>
        <v>16800</v>
      </c>
      <c r="F24" s="2" cm="1">
        <f t="array" ref="F24">SUMPRODUCT((MOD(COLUMN($M24:$FR24)-COLUMN($M24),2)=0)*($M24:$FR24))</f>
        <v>0</v>
      </c>
      <c r="G24" s="9">
        <f t="shared" si="52"/>
        <v>16800</v>
      </c>
      <c r="H24" s="42">
        <f>'Final Processes daily output'!$F$12</f>
        <v>27000</v>
      </c>
      <c r="I24" s="22">
        <f>_xlfn.XLOOKUP(A24,'Screwing Pramara- DPR - ABS'!$A$4:$A$26,'Screwing Pramara- DPR - ABS'!$F$4:$F$26)</f>
        <v>0</v>
      </c>
      <c r="J24" s="23">
        <f t="shared" si="51"/>
        <v>0</v>
      </c>
      <c r="K24" s="23">
        <f t="shared" si="53"/>
        <v>0.62222222222222223</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7"/>
    </row>
    <row r="25" spans="1:113" ht="15" thickBot="1" x14ac:dyDescent="0.35">
      <c r="A25" s="2" t="s">
        <v>53</v>
      </c>
      <c r="B25" s="3" t="s">
        <v>54</v>
      </c>
      <c r="C25" s="3" t="s">
        <v>168</v>
      </c>
      <c r="D25" s="3" t="s">
        <v>130</v>
      </c>
      <c r="E25" s="6">
        <f>SUMIF('Sunglasses BOM'!$D$1:$D$79,B25,'Sunglasses BOM'!$E$1:$E$79)</f>
        <v>16800</v>
      </c>
      <c r="F25" s="2" cm="1">
        <f t="array" ref="F25">SUMPRODUCT((MOD(COLUMN($M25:$FR25)-COLUMN($M25),2)=0)*($M25:$FR25))</f>
        <v>0</v>
      </c>
      <c r="G25" s="9">
        <f t="shared" si="52"/>
        <v>16800</v>
      </c>
      <c r="H25" s="42">
        <f>'Final Processes daily output'!$F$12</f>
        <v>27000</v>
      </c>
      <c r="I25" s="22">
        <f>_xlfn.XLOOKUP(A25,'Screwing Pramara- DPR - ABS'!$A$4:$A$26,'Screwing Pramara- DPR - ABS'!$F$4:$F$26)</f>
        <v>0</v>
      </c>
      <c r="J25" s="23">
        <f t="shared" si="51"/>
        <v>0</v>
      </c>
      <c r="K25" s="23">
        <f t="shared" si="53"/>
        <v>0.62222222222222223</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7"/>
    </row>
    <row r="26" spans="1:113" ht="15" thickBot="1" x14ac:dyDescent="0.35">
      <c r="A26" s="4" t="s">
        <v>55</v>
      </c>
      <c r="B26" s="5" t="s">
        <v>56</v>
      </c>
      <c r="C26" s="5" t="s">
        <v>169</v>
      </c>
      <c r="D26" s="5" t="s">
        <v>123</v>
      </c>
      <c r="E26" s="6">
        <f>SUMIF('Sunglasses BOM'!$D$1:$D$79,B26,'Sunglasses BOM'!$E$1:$E$79)</f>
        <v>16800</v>
      </c>
      <c r="F26" s="4" cm="1">
        <f t="array" ref="F26">SUMPRODUCT((MOD(COLUMN($M26:$FR26)-COLUMN($M26),2)=0)*($M26:$FR26))</f>
        <v>0</v>
      </c>
      <c r="G26" s="10">
        <f t="shared" si="52"/>
        <v>16800</v>
      </c>
      <c r="H26" s="42">
        <f>'Final Processes daily output'!$F$12</f>
        <v>27000</v>
      </c>
      <c r="I26" s="22">
        <f>_xlfn.XLOOKUP(A26,'Screwing Pramara- DPR - ABS'!$A$4:$A$26,'Screwing Pramara- DPR - ABS'!$F$4:$F$26)</f>
        <v>0</v>
      </c>
      <c r="J26" s="23">
        <f t="shared" si="51"/>
        <v>0</v>
      </c>
      <c r="K26" s="25">
        <f t="shared" si="53"/>
        <v>0.62222222222222223</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7"/>
    </row>
  </sheetData>
  <mergeCells count="102">
    <mergeCell ref="DF2:DG2"/>
    <mergeCell ref="DH2:DI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DD1:DE1"/>
    <mergeCell ref="DF1:DG1"/>
    <mergeCell ref="DH1:DI1"/>
    <mergeCell ref="CV1:CW1"/>
    <mergeCell ref="CX1:CY1"/>
    <mergeCell ref="CZ1:DA1"/>
    <mergeCell ref="DB1:DC1"/>
    <mergeCell ref="BN1:BO1"/>
    <mergeCell ref="BP1:BQ1"/>
    <mergeCell ref="BR1:BS1"/>
    <mergeCell ref="CR1:CS1"/>
    <mergeCell ref="CT1:CU1"/>
    <mergeCell ref="CF1:CG1"/>
    <mergeCell ref="CH1:CI1"/>
    <mergeCell ref="CJ1:CK1"/>
    <mergeCell ref="CL1:CM1"/>
    <mergeCell ref="CN1:CO1"/>
    <mergeCell ref="CP1:CQ1"/>
    <mergeCell ref="BT1:BU1"/>
    <mergeCell ref="BV1:BW1"/>
    <mergeCell ref="BX1:BY1"/>
    <mergeCell ref="BZ1:CA1"/>
    <mergeCell ref="CB1:CC1"/>
    <mergeCell ref="CD1:CE1"/>
    <mergeCell ref="BJ1:BK1"/>
    <mergeCell ref="BL1:BM1"/>
    <mergeCell ref="Z2:AA2"/>
    <mergeCell ref="AB2:AC2"/>
    <mergeCell ref="AD2:AE2"/>
    <mergeCell ref="AF2:AG2"/>
    <mergeCell ref="AH2:AI2"/>
    <mergeCell ref="AJ2:AK2"/>
    <mergeCell ref="AV1:AW1"/>
    <mergeCell ref="AX1:AY1"/>
    <mergeCell ref="AZ1:BA1"/>
    <mergeCell ref="BB1:BC1"/>
    <mergeCell ref="BD1:BE1"/>
    <mergeCell ref="BF1:BG1"/>
    <mergeCell ref="AJ1:AK1"/>
    <mergeCell ref="AL1:AM1"/>
    <mergeCell ref="AX2:AY2"/>
    <mergeCell ref="AZ2:BA2"/>
    <mergeCell ref="BB2:BC2"/>
    <mergeCell ref="BD2:BE2"/>
    <mergeCell ref="BF2:BG2"/>
    <mergeCell ref="BH2:BI2"/>
    <mergeCell ref="AL2:AM2"/>
    <mergeCell ref="AV2:AW2"/>
    <mergeCell ref="BH1:BI1"/>
    <mergeCell ref="L2:M2"/>
    <mergeCell ref="N2:O2"/>
    <mergeCell ref="P2:Q2"/>
    <mergeCell ref="R2:S2"/>
    <mergeCell ref="T2:U2"/>
    <mergeCell ref="V2:W2"/>
    <mergeCell ref="X2:Y2"/>
    <mergeCell ref="AN2:AO2"/>
    <mergeCell ref="AP2:AQ2"/>
    <mergeCell ref="AN1:AO1"/>
    <mergeCell ref="AP1:AQ1"/>
    <mergeCell ref="AR1:AS1"/>
    <mergeCell ref="AT1:AU1"/>
    <mergeCell ref="X1:Y1"/>
    <mergeCell ref="Z1:AA1"/>
    <mergeCell ref="AB1:AC1"/>
    <mergeCell ref="AD1:AE1"/>
    <mergeCell ref="AF1:AG1"/>
    <mergeCell ref="AH1:AI1"/>
    <mergeCell ref="AR2:AS2"/>
    <mergeCell ref="AT2:AU2"/>
    <mergeCell ref="L1:M1"/>
    <mergeCell ref="N1:O1"/>
    <mergeCell ref="P1:Q1"/>
    <mergeCell ref="R1:S1"/>
    <mergeCell ref="T1:U1"/>
    <mergeCell ref="V1:W1"/>
  </mergeCells>
  <conditionalFormatting sqref="J4:J26">
    <cfRule type="cellIs" dxfId="17" priority="1" operator="lessThan">
      <formula>0</formula>
    </cfRule>
  </conditionalFormatting>
  <conditionalFormatting sqref="L2:DI2">
    <cfRule type="expression" dxfId="16" priority="3">
      <formula>SUM(L$4:L$17)&gt;$H$4</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C74A-2612-45FF-8B28-C0E5F354D1BD}">
  <dimension ref="A1:DI26"/>
  <sheetViews>
    <sheetView workbookViewId="0">
      <selection activeCell="I12" sqref="I12"/>
    </sheetView>
  </sheetViews>
  <sheetFormatPr defaultRowHeight="14.4" x14ac:dyDescent="0.3"/>
  <cols>
    <col min="1" max="1" width="13.21875" bestFit="1" customWidth="1"/>
    <col min="2" max="2" width="29.44140625" bestFit="1" customWidth="1"/>
    <col min="3" max="3" width="13.5546875" bestFit="1" customWidth="1"/>
    <col min="4" max="4" width="11.6640625" bestFit="1" customWidth="1"/>
    <col min="5" max="5" width="6.77734375" bestFit="1" customWidth="1"/>
    <col min="6" max="6" width="8.109375" bestFit="1" customWidth="1"/>
    <col min="7" max="7" width="6.77734375" bestFit="1" customWidth="1"/>
    <col min="8" max="8" width="7.77734375" bestFit="1" customWidth="1"/>
    <col min="9" max="9" width="8.33203125" bestFit="1" customWidth="1"/>
    <col min="10" max="10" width="7.77734375" bestFit="1" customWidth="1"/>
    <col min="11" max="11" width="8.5546875" bestFit="1" customWidth="1"/>
    <col min="12" max="12" width="6.44140625" bestFit="1" customWidth="1"/>
    <col min="13" max="13" width="6" bestFit="1" customWidth="1"/>
    <col min="14" max="14" width="6.44140625" bestFit="1" customWidth="1"/>
    <col min="15" max="15" width="6" bestFit="1" customWidth="1"/>
    <col min="16" max="16" width="6.44140625" bestFit="1" customWidth="1"/>
    <col min="17" max="17" width="6" bestFit="1" customWidth="1"/>
    <col min="18" max="18" width="6.44140625" bestFit="1" customWidth="1"/>
    <col min="19" max="19" width="6" bestFit="1" customWidth="1"/>
    <col min="20" max="20" width="6.44140625" bestFit="1" customWidth="1"/>
    <col min="21" max="21" width="6" bestFit="1" customWidth="1"/>
    <col min="22" max="22" width="6.44140625" bestFit="1" customWidth="1"/>
    <col min="23" max="23" width="6" bestFit="1" customWidth="1"/>
    <col min="24" max="24" width="6.44140625" bestFit="1" customWidth="1"/>
    <col min="25" max="25" width="6" bestFit="1" customWidth="1"/>
    <col min="26" max="26" width="6.44140625" bestFit="1" customWidth="1"/>
    <col min="27" max="27" width="6" bestFit="1" customWidth="1"/>
    <col min="28" max="28" width="6.44140625" bestFit="1" customWidth="1"/>
    <col min="29" max="29" width="6" bestFit="1" customWidth="1"/>
    <col min="30" max="30" width="6.44140625" bestFit="1" customWidth="1"/>
    <col min="31" max="31" width="6" bestFit="1" customWidth="1"/>
    <col min="32" max="32" width="6.44140625" bestFit="1" customWidth="1"/>
    <col min="33" max="33" width="6" bestFit="1" customWidth="1"/>
    <col min="34" max="34" width="6.44140625" bestFit="1" customWidth="1"/>
    <col min="35" max="35" width="6" bestFit="1" customWidth="1"/>
    <col min="36" max="36" width="6.44140625" bestFit="1" customWidth="1"/>
    <col min="37" max="37" width="6" bestFit="1" customWidth="1"/>
    <col min="38" max="38" width="6.44140625" bestFit="1" customWidth="1"/>
    <col min="39" max="39" width="6" bestFit="1" customWidth="1"/>
    <col min="40" max="40" width="6.44140625" bestFit="1" customWidth="1"/>
    <col min="41" max="41" width="6" bestFit="1" customWidth="1"/>
    <col min="42" max="42" width="6.44140625" bestFit="1" customWidth="1"/>
    <col min="43" max="43" width="6" bestFit="1" customWidth="1"/>
    <col min="44" max="44" width="6.44140625" bestFit="1" customWidth="1"/>
    <col min="45" max="45" width="6" bestFit="1" customWidth="1"/>
    <col min="46" max="46" width="6.44140625" bestFit="1" customWidth="1"/>
    <col min="47" max="47" width="6" bestFit="1" customWidth="1"/>
    <col min="48" max="48" width="6.44140625" bestFit="1" customWidth="1"/>
    <col min="49" max="49" width="6" bestFit="1" customWidth="1"/>
    <col min="50" max="50" width="6.44140625" bestFit="1" customWidth="1"/>
    <col min="51" max="51" width="6" bestFit="1" customWidth="1"/>
    <col min="52" max="52" width="6.44140625" bestFit="1" customWidth="1"/>
    <col min="53" max="53" width="6" bestFit="1" customWidth="1"/>
    <col min="54" max="54" width="6.44140625" bestFit="1" customWidth="1"/>
    <col min="55" max="55" width="6" bestFit="1" customWidth="1"/>
    <col min="56" max="56" width="6.44140625" bestFit="1" customWidth="1"/>
    <col min="57" max="57" width="6" bestFit="1" customWidth="1"/>
    <col min="58" max="58" width="6.44140625" bestFit="1" customWidth="1"/>
    <col min="59" max="59" width="6" bestFit="1" customWidth="1"/>
    <col min="60" max="60" width="6.44140625" bestFit="1" customWidth="1"/>
    <col min="61" max="61" width="6" bestFit="1" customWidth="1"/>
    <col min="62" max="62" width="6.44140625" bestFit="1" customWidth="1"/>
    <col min="63" max="63" width="6" bestFit="1" customWidth="1"/>
    <col min="64" max="64" width="6.44140625" bestFit="1" customWidth="1"/>
    <col min="65" max="65" width="6" bestFit="1" customWidth="1"/>
    <col min="66" max="66" width="6.44140625" bestFit="1" customWidth="1"/>
    <col min="67" max="67" width="6" bestFit="1" customWidth="1"/>
    <col min="68" max="68" width="6.44140625" bestFit="1" customWidth="1"/>
    <col min="69" max="69" width="6" bestFit="1" customWidth="1"/>
    <col min="70" max="70" width="6.44140625" bestFit="1" customWidth="1"/>
    <col min="71" max="71" width="6" bestFit="1" customWidth="1"/>
    <col min="72" max="72" width="6.44140625" bestFit="1" customWidth="1"/>
    <col min="73" max="73" width="6" bestFit="1" customWidth="1"/>
    <col min="74" max="74" width="6.44140625" bestFit="1" customWidth="1"/>
    <col min="75" max="75" width="6" bestFit="1" customWidth="1"/>
    <col min="76" max="76" width="6.44140625" bestFit="1" customWidth="1"/>
    <col min="77" max="77" width="6" bestFit="1" customWidth="1"/>
    <col min="78" max="78" width="6.44140625" bestFit="1" customWidth="1"/>
    <col min="79" max="79" width="6" bestFit="1" customWidth="1"/>
    <col min="80" max="80" width="6.44140625" bestFit="1" customWidth="1"/>
    <col min="81" max="81" width="6" bestFit="1" customWidth="1"/>
    <col min="82" max="82" width="6.44140625" bestFit="1" customWidth="1"/>
    <col min="83" max="83" width="6" bestFit="1" customWidth="1"/>
    <col min="84" max="84" width="6.44140625" bestFit="1" customWidth="1"/>
    <col min="85" max="85" width="6" bestFit="1" customWidth="1"/>
    <col min="86" max="86" width="6.44140625" bestFit="1" customWidth="1"/>
    <col min="87" max="87" width="6" bestFit="1" customWidth="1"/>
    <col min="88" max="88" width="6.44140625" bestFit="1" customWidth="1"/>
    <col min="89" max="89" width="6" bestFit="1" customWidth="1"/>
    <col min="90" max="90" width="6.44140625" bestFit="1" customWidth="1"/>
    <col min="91" max="91" width="6" bestFit="1" customWidth="1"/>
    <col min="92" max="92" width="6.44140625" bestFit="1" customWidth="1"/>
    <col min="93" max="93" width="6" bestFit="1" customWidth="1"/>
    <col min="94" max="94" width="6.44140625" bestFit="1" customWidth="1"/>
    <col min="95" max="95" width="6" bestFit="1" customWidth="1"/>
    <col min="96" max="96" width="6.44140625" bestFit="1" customWidth="1"/>
    <col min="97" max="97" width="6" bestFit="1" customWidth="1"/>
    <col min="98" max="98" width="6.44140625" bestFit="1" customWidth="1"/>
    <col min="99" max="99" width="6" bestFit="1" customWidth="1"/>
    <col min="100" max="100" width="6.44140625" bestFit="1" customWidth="1"/>
    <col min="101" max="101" width="6" bestFit="1" customWidth="1"/>
    <col min="102" max="102" width="6.44140625" bestFit="1" customWidth="1"/>
    <col min="103" max="103" width="6" bestFit="1" customWidth="1"/>
    <col min="104" max="104" width="6.44140625" bestFit="1" customWidth="1"/>
    <col min="105" max="105" width="6" bestFit="1" customWidth="1"/>
    <col min="106" max="106" width="6.44140625" bestFit="1" customWidth="1"/>
    <col min="107" max="107" width="6" bestFit="1" customWidth="1"/>
    <col min="108" max="108" width="6.44140625" bestFit="1" customWidth="1"/>
    <col min="109" max="109" width="6" bestFit="1" customWidth="1"/>
    <col min="110" max="110" width="6.44140625" bestFit="1" customWidth="1"/>
    <col min="111" max="111" width="6" bestFit="1" customWidth="1"/>
    <col min="112" max="112" width="6.44140625" bestFit="1" customWidth="1"/>
    <col min="113" max="113" width="6" bestFit="1" customWidth="1"/>
  </cols>
  <sheetData>
    <row r="1" spans="1:113"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row>
    <row r="2" spans="1:113"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row>
    <row r="3" spans="1:113" ht="72" x14ac:dyDescent="0.3">
      <c r="A3" s="38" t="s">
        <v>505</v>
      </c>
      <c r="B3" s="39" t="s">
        <v>3</v>
      </c>
      <c r="C3" s="49" t="s">
        <v>180</v>
      </c>
      <c r="D3" s="49" t="s">
        <v>503</v>
      </c>
      <c r="E3" s="40" t="s">
        <v>419</v>
      </c>
      <c r="F3" s="51" t="s">
        <v>420</v>
      </c>
      <c r="G3" s="52" t="s">
        <v>421</v>
      </c>
      <c r="H3" s="38" t="s">
        <v>423</v>
      </c>
      <c r="I3" s="39" t="s">
        <v>506</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row>
    <row r="4" spans="1:113"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output'!$F$15</f>
        <v>41142.857142857138</v>
      </c>
      <c r="I4" s="22">
        <f>_xlfn.XLOOKUP(A4,'Lacquer DPR - ABS - Pramara'!$A$4:$A$26,'Lacquer DPR - ABS - Pramara'!$F$4:$F$26)</f>
        <v>0</v>
      </c>
      <c r="J4" s="23">
        <f>I4-F4</f>
        <v>0</v>
      </c>
      <c r="K4" s="54">
        <f t="shared" ref="K4:K17" si="49">G4/H4</f>
        <v>5.3083333333333336</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row>
    <row r="5" spans="1:113" x14ac:dyDescent="0.3">
      <c r="A5" s="2" t="s">
        <v>11</v>
      </c>
      <c r="B5" s="3" t="s">
        <v>12</v>
      </c>
      <c r="C5" s="3" t="s">
        <v>156</v>
      </c>
      <c r="D5" s="3" t="s">
        <v>131</v>
      </c>
      <c r="E5" s="6">
        <f>SUMIF('Sunglasses BOM'!$D$1:$D$79,B5,'Sunglasses BOM'!$E$1:$E$79)</f>
        <v>100800</v>
      </c>
      <c r="F5" s="32" cm="1">
        <f t="array" ref="F5">SUMPRODUCT((MOD(COLUMN($M5:$FR5)-COLUMN($M5),2)=0)*($M5:$FR5))</f>
        <v>0</v>
      </c>
      <c r="G5" s="9">
        <f t="shared" ref="G5:G17" si="50">E5-F5</f>
        <v>100800</v>
      </c>
      <c r="H5" s="42">
        <f>'Final Processes daily output'!$F$15</f>
        <v>41142.857142857138</v>
      </c>
      <c r="I5" s="22">
        <f>_xlfn.XLOOKUP(A5,'Lacquer DPR - ABS - Pramara'!$A$4:$A$26,'Lacquer DPR - ABS - Pramara'!$F$4:$F$26)</f>
        <v>0</v>
      </c>
      <c r="J5" s="23">
        <f t="shared" ref="J5:J26" si="51">I5-F5</f>
        <v>0</v>
      </c>
      <c r="K5" s="54">
        <f t="shared" si="49"/>
        <v>2.4500000000000002</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row>
    <row r="6" spans="1:113" x14ac:dyDescent="0.3">
      <c r="A6" s="2" t="s">
        <v>13</v>
      </c>
      <c r="B6" s="3" t="s">
        <v>14</v>
      </c>
      <c r="C6" s="3" t="s">
        <v>157</v>
      </c>
      <c r="D6" s="3" t="s">
        <v>116</v>
      </c>
      <c r="E6" s="6">
        <f>SUMIF('Sunglasses BOM'!$D$1:$D$79,B6,'Sunglasses BOM'!$E$1:$E$79)</f>
        <v>151200</v>
      </c>
      <c r="F6" s="32" cm="1">
        <f t="array" ref="F6">SUMPRODUCT((MOD(COLUMN($M6:$FR6)-COLUMN($M6),2)=0)*($M6:$FR6))</f>
        <v>0</v>
      </c>
      <c r="G6" s="9">
        <f t="shared" si="50"/>
        <v>151200</v>
      </c>
      <c r="H6" s="42">
        <f>'Final Processes daily output'!$F$15</f>
        <v>41142.857142857138</v>
      </c>
      <c r="I6" s="22">
        <f>_xlfn.XLOOKUP(A6,'Lacquer DPR - ABS - Pramara'!$A$4:$A$26,'Lacquer DPR - ABS - Pramara'!$F$4:$F$26)</f>
        <v>0</v>
      </c>
      <c r="J6" s="23">
        <f t="shared" si="51"/>
        <v>0</v>
      </c>
      <c r="K6" s="54">
        <f t="shared" si="49"/>
        <v>3.6750000000000003</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row>
    <row r="7" spans="1:113" x14ac:dyDescent="0.3">
      <c r="A7" s="2" t="s">
        <v>15</v>
      </c>
      <c r="B7" s="3" t="s">
        <v>16</v>
      </c>
      <c r="C7" s="3" t="s">
        <v>158</v>
      </c>
      <c r="D7" s="3" t="s">
        <v>132</v>
      </c>
      <c r="E7" s="6">
        <f>SUMIF('Sunglasses BOM'!$D$1:$D$79,B7,'Sunglasses BOM'!$E$1:$E$79)</f>
        <v>100800</v>
      </c>
      <c r="F7" s="32" cm="1">
        <f t="array" ref="F7">SUMPRODUCT((MOD(COLUMN($M7:$FR7)-COLUMN($M7),2)=0)*($M7:$FR7))</f>
        <v>0</v>
      </c>
      <c r="G7" s="9">
        <f t="shared" si="50"/>
        <v>100800</v>
      </c>
      <c r="H7" s="42">
        <f>'Final Processes daily output'!$F$15</f>
        <v>41142.857142857138</v>
      </c>
      <c r="I7" s="22">
        <f>_xlfn.XLOOKUP(A7,'Lacquer DPR - ABS - Pramara'!$A$4:$A$26,'Lacquer DPR - ABS - Pramara'!$F$4:$F$26)</f>
        <v>0</v>
      </c>
      <c r="J7" s="23">
        <f t="shared" si="51"/>
        <v>0</v>
      </c>
      <c r="K7" s="54">
        <f t="shared" si="49"/>
        <v>2.4500000000000002</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row>
    <row r="8" spans="1:113" x14ac:dyDescent="0.3">
      <c r="A8" s="2" t="s">
        <v>17</v>
      </c>
      <c r="B8" s="3" t="s">
        <v>18</v>
      </c>
      <c r="C8" s="3" t="s">
        <v>159</v>
      </c>
      <c r="D8" s="3" t="s">
        <v>113</v>
      </c>
      <c r="E8" s="6">
        <f>SUMIF('Sunglasses BOM'!$D$1:$D$79,B8,'Sunglasses BOM'!$E$1:$E$79)</f>
        <v>134400</v>
      </c>
      <c r="F8" s="32" cm="1">
        <f t="array" ref="F8">SUMPRODUCT((MOD(COLUMN($M8:$FR8)-COLUMN($M8),2)=0)*($M8:$FR8))</f>
        <v>0</v>
      </c>
      <c r="G8" s="9">
        <f t="shared" si="50"/>
        <v>134400</v>
      </c>
      <c r="H8" s="42">
        <f>'Final Processes daily output'!$F$15</f>
        <v>41142.857142857138</v>
      </c>
      <c r="I8" s="22">
        <f>_xlfn.XLOOKUP(A8,'Lacquer DPR - ABS - Pramara'!$A$4:$A$26,'Lacquer DPR - ABS - Pramara'!$F$4:$F$26)</f>
        <v>0</v>
      </c>
      <c r="J8" s="23">
        <f t="shared" si="51"/>
        <v>0</v>
      </c>
      <c r="K8" s="54">
        <f t="shared" si="49"/>
        <v>3.2666666666666671</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row>
    <row r="9" spans="1:113" x14ac:dyDescent="0.3">
      <c r="A9" s="2" t="s">
        <v>21</v>
      </c>
      <c r="B9" s="3" t="s">
        <v>22</v>
      </c>
      <c r="C9" s="3" t="s">
        <v>160</v>
      </c>
      <c r="D9" s="3" t="s">
        <v>112</v>
      </c>
      <c r="E9" s="6">
        <f>SUMIF('Sunglasses BOM'!$D$1:$D$79,B9,'Sunglasses BOM'!$E$1:$E$79)</f>
        <v>33600</v>
      </c>
      <c r="F9" s="32" cm="1">
        <f t="array" ref="F9">SUMPRODUCT((MOD(COLUMN($M9:$FR9)-COLUMN($M9),2)=0)*($M9:$FR9))</f>
        <v>0</v>
      </c>
      <c r="G9" s="9">
        <f t="shared" si="50"/>
        <v>33600</v>
      </c>
      <c r="H9" s="42">
        <f>'Final Processes daily output'!$F$15</f>
        <v>41142.857142857138</v>
      </c>
      <c r="I9" s="22">
        <f>_xlfn.XLOOKUP(A9,'Lacquer DPR - ABS - Pramara'!$A$4:$A$26,'Lacquer DPR - ABS - Pramara'!$F$4:$F$26)</f>
        <v>0</v>
      </c>
      <c r="J9" s="23">
        <f t="shared" si="51"/>
        <v>0</v>
      </c>
      <c r="K9" s="54">
        <f t="shared" si="49"/>
        <v>0.81666666666666676</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row>
    <row r="10" spans="1:113" x14ac:dyDescent="0.3">
      <c r="A10" s="2" t="s">
        <v>23</v>
      </c>
      <c r="B10" s="3" t="s">
        <v>24</v>
      </c>
      <c r="C10" s="3" t="s">
        <v>160</v>
      </c>
      <c r="D10" s="3" t="s">
        <v>112</v>
      </c>
      <c r="E10" s="6">
        <f>SUMIF('Sunglasses BOM'!$D$1:$D$79,B10,'Sunglasses BOM'!$E$1:$E$79)</f>
        <v>16800</v>
      </c>
      <c r="F10" s="32" cm="1">
        <f t="array" ref="F10">SUMPRODUCT((MOD(COLUMN($M10:$FR10)-COLUMN($M10),2)=0)*($M10:$FR10))</f>
        <v>0</v>
      </c>
      <c r="G10" s="9">
        <f t="shared" si="50"/>
        <v>16800</v>
      </c>
      <c r="H10" s="42">
        <f>'Final Processes daily output'!$F$15</f>
        <v>41142.857142857138</v>
      </c>
      <c r="I10" s="22">
        <f>_xlfn.XLOOKUP(A10,'Lacquer DPR - ABS - Pramara'!$A$4:$A$26,'Lacquer DPR - ABS - Pramara'!$F$4:$F$26)</f>
        <v>0</v>
      </c>
      <c r="J10" s="23">
        <f t="shared" si="51"/>
        <v>0</v>
      </c>
      <c r="K10" s="54">
        <f t="shared" si="49"/>
        <v>0.40833333333333338</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row>
    <row r="11" spans="1:113"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si="50"/>
        <v>25200</v>
      </c>
      <c r="H11" s="42">
        <f>'Final Processes daily output'!$F$15</f>
        <v>41142.857142857138</v>
      </c>
      <c r="I11" s="22">
        <f>_xlfn.XLOOKUP(A11,'Lacquer DPR - ABS - Pramara'!$A$4:$A$26,'Lacquer DPR - ABS - Pramara'!$F$4:$F$26)</f>
        <v>0</v>
      </c>
      <c r="J11" s="23">
        <f t="shared" si="51"/>
        <v>0</v>
      </c>
      <c r="K11" s="55">
        <f t="shared" si="49"/>
        <v>0.61250000000000004</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row>
    <row r="12" spans="1:113"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0"/>
        <v>8400</v>
      </c>
      <c r="H12" s="42">
        <f>'Final Processes daily output'!$F$15</f>
        <v>41142.857142857138</v>
      </c>
      <c r="I12" s="22">
        <f>_xlfn.XLOOKUP(A12,'Lacquer DPR - ABS - Pramara'!$A$4:$A$26,'Lacquer DPR - ABS - Pramara'!$F$4:$F$26)</f>
        <v>0</v>
      </c>
      <c r="J12" s="23">
        <f t="shared" si="51"/>
        <v>0</v>
      </c>
      <c r="K12" s="55">
        <f t="shared" si="49"/>
        <v>0.20416666666666669</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row>
    <row r="13" spans="1:113"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0"/>
        <v>42000</v>
      </c>
      <c r="H13" s="42">
        <f>'Final Processes daily output'!$F$15</f>
        <v>41142.857142857138</v>
      </c>
      <c r="I13" s="22">
        <f>_xlfn.XLOOKUP(A13,'Lacquer DPR - ABS - Pramara'!$A$4:$A$26,'Lacquer DPR - ABS - Pramara'!$F$4:$F$26)</f>
        <v>0</v>
      </c>
      <c r="J13" s="23">
        <f t="shared" si="51"/>
        <v>0</v>
      </c>
      <c r="K13" s="55">
        <f t="shared" si="49"/>
        <v>1.0208333333333335</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row>
    <row r="14" spans="1:113"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0"/>
        <v>25200</v>
      </c>
      <c r="H14" s="42">
        <f>'Final Processes daily output'!$F$15</f>
        <v>41142.857142857138</v>
      </c>
      <c r="I14" s="22">
        <f>_xlfn.XLOOKUP(A14,'Lacquer DPR - ABS - Pramara'!$A$4:$A$26,'Lacquer DPR - ABS - Pramara'!$F$4:$F$26)</f>
        <v>0</v>
      </c>
      <c r="J14" s="23">
        <f t="shared" si="51"/>
        <v>0</v>
      </c>
      <c r="K14" s="55">
        <f t="shared" si="49"/>
        <v>0.61250000000000004</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row>
    <row r="15" spans="1:113"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0"/>
        <v>16800</v>
      </c>
      <c r="H15" s="42">
        <f>'Final Processes daily output'!$F$15</f>
        <v>41142.857142857138</v>
      </c>
      <c r="I15" s="22">
        <f>_xlfn.XLOOKUP(A15,'Lacquer DPR - ABS - Pramara'!$A$4:$A$26,'Lacquer DPR - ABS - Pramara'!$F$4:$F$26)</f>
        <v>0</v>
      </c>
      <c r="J15" s="23">
        <f t="shared" si="51"/>
        <v>0</v>
      </c>
      <c r="K15" s="55">
        <f t="shared" si="49"/>
        <v>0.40833333333333338</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row>
    <row r="16" spans="1:113"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0"/>
        <v>16800</v>
      </c>
      <c r="H16" s="42">
        <f>'Final Processes daily output'!$F$15</f>
        <v>41142.857142857138</v>
      </c>
      <c r="I16" s="22">
        <f>_xlfn.XLOOKUP(A16,'Lacquer DPR - ABS - Pramara'!$A$4:$A$26,'Lacquer DPR - ABS - Pramara'!$F$4:$F$26)</f>
        <v>0</v>
      </c>
      <c r="J16" s="23">
        <f t="shared" si="51"/>
        <v>0</v>
      </c>
      <c r="K16" s="55">
        <f t="shared" si="49"/>
        <v>0.40833333333333338</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row>
    <row r="17" spans="1:113"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0"/>
        <v>16800</v>
      </c>
      <c r="H17" s="42">
        <f>'Final Processes daily output'!$F$15</f>
        <v>41142.857142857138</v>
      </c>
      <c r="I17" s="22">
        <f>_xlfn.XLOOKUP(A17,'Lacquer DPR - ABS - Pramara'!$A$4:$A$26,'Lacquer DPR - ABS - Pramara'!$F$4:$F$26)</f>
        <v>0</v>
      </c>
      <c r="J17" s="23">
        <f t="shared" si="51"/>
        <v>0</v>
      </c>
      <c r="K17" s="55">
        <f t="shared" si="49"/>
        <v>0.40833333333333338</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row>
    <row r="18" spans="1:113" x14ac:dyDescent="0.3">
      <c r="A18" s="2" t="s">
        <v>25</v>
      </c>
      <c r="B18" s="3" t="s">
        <v>26</v>
      </c>
      <c r="C18" s="3" t="s">
        <v>161</v>
      </c>
      <c r="D18" s="3" t="s">
        <v>114</v>
      </c>
      <c r="E18" s="9">
        <f>SUMIF('Sunglasses BOM'!$D$1:$D$79,B18,'Sunglasses BOM'!$E$1:$E$79)</f>
        <v>25200</v>
      </c>
      <c r="F18" s="2" cm="1">
        <f t="array" ref="F18">SUMPRODUCT((MOD(COLUMN($M18:$FR18)-COLUMN($M18),2)=0)*($M18:$FR18))</f>
        <v>0</v>
      </c>
      <c r="G18" s="9">
        <f t="shared" ref="G18:G26" si="52">E18-F18</f>
        <v>25200</v>
      </c>
      <c r="H18" s="42">
        <v>5000</v>
      </c>
      <c r="I18" s="22">
        <f>_xlfn.XLOOKUP(A18,'Lacquer DPR - ABS - Pramara'!$A$4:$A$26,'Lacquer DPR - ABS - Pramara'!$F$4:$F$26)</f>
        <v>0</v>
      </c>
      <c r="J18" s="23">
        <f t="shared" si="51"/>
        <v>0</v>
      </c>
      <c r="K18" s="23">
        <f t="shared" ref="K18:K26" si="53">G18/H18</f>
        <v>5.04</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6"/>
    </row>
    <row r="19" spans="1:113" ht="15" thickBot="1" x14ac:dyDescent="0.35">
      <c r="A19" s="2" t="s">
        <v>27</v>
      </c>
      <c r="B19" s="3" t="s">
        <v>28</v>
      </c>
      <c r="C19" s="3" t="s">
        <v>162</v>
      </c>
      <c r="D19" s="3" t="s">
        <v>115</v>
      </c>
      <c r="E19" s="9">
        <f>SUMIF('Sunglasses BOM'!$D$1:$D$79,B19,'Sunglasses BOM'!$E$1:$E$79)</f>
        <v>16800</v>
      </c>
      <c r="F19" s="2" cm="1">
        <f t="array" ref="F19">SUMPRODUCT((MOD(COLUMN($M19:$FR19)-COLUMN($M19),2)=0)*($M19:$FR19))</f>
        <v>0</v>
      </c>
      <c r="G19" s="9">
        <f t="shared" si="52"/>
        <v>16800</v>
      </c>
      <c r="H19" s="42">
        <v>5000</v>
      </c>
      <c r="I19" s="22">
        <f>_xlfn.XLOOKUP(A19,'Lacquer DPR - ABS - Pramara'!$A$4:$A$26,'Lacquer DPR - ABS - Pramara'!$F$4:$F$26)</f>
        <v>0</v>
      </c>
      <c r="J19" s="23">
        <f t="shared" si="51"/>
        <v>0</v>
      </c>
      <c r="K19" s="23">
        <f t="shared" si="53"/>
        <v>3.36</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7"/>
    </row>
    <row r="20" spans="1:113" ht="15" thickBot="1" x14ac:dyDescent="0.35">
      <c r="A20" s="2" t="s">
        <v>29</v>
      </c>
      <c r="B20" s="3" t="s">
        <v>30</v>
      </c>
      <c r="C20" s="3" t="s">
        <v>162</v>
      </c>
      <c r="D20" s="3" t="s">
        <v>115</v>
      </c>
      <c r="E20" s="9">
        <f>SUMIF('Sunglasses BOM'!$D$1:$D$79,B20,'Sunglasses BOM'!$E$1:$E$79)</f>
        <v>8400</v>
      </c>
      <c r="F20" s="2" cm="1">
        <f t="array" ref="F20">SUMPRODUCT((MOD(COLUMN($M20:$FR20)-COLUMN($M20),2)=0)*($M20:$FR20))</f>
        <v>0</v>
      </c>
      <c r="G20" s="9">
        <f t="shared" si="52"/>
        <v>8400</v>
      </c>
      <c r="H20" s="42">
        <v>5000</v>
      </c>
      <c r="I20" s="22">
        <f>_xlfn.XLOOKUP(A20,'Lacquer DPR - ABS - Pramara'!$A$4:$A$26,'Lacquer DPR - ABS - Pramara'!$F$4:$F$26)</f>
        <v>0</v>
      </c>
      <c r="J20" s="23">
        <f t="shared" si="51"/>
        <v>0</v>
      </c>
      <c r="K20" s="23">
        <f t="shared" si="53"/>
        <v>1.68</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7"/>
    </row>
    <row r="21" spans="1:113" ht="15" thickBot="1" x14ac:dyDescent="0.35">
      <c r="A21" s="2" t="s">
        <v>35</v>
      </c>
      <c r="B21" s="3" t="s">
        <v>36</v>
      </c>
      <c r="C21" s="3" t="s">
        <v>164</v>
      </c>
      <c r="D21" s="3" t="s">
        <v>117</v>
      </c>
      <c r="E21" s="9">
        <f>SUMIF('Sunglasses BOM'!$D$1:$D$79,B21,'Sunglasses BOM'!$E$1:$E$79)</f>
        <v>8400</v>
      </c>
      <c r="F21" s="2" cm="1">
        <f t="array" ref="F21">SUMPRODUCT((MOD(COLUMN($M21:$FR21)-COLUMN($M21),2)=0)*($M21:$FR21))</f>
        <v>0</v>
      </c>
      <c r="G21" s="9">
        <f t="shared" si="52"/>
        <v>8400</v>
      </c>
      <c r="H21" s="42">
        <v>5000</v>
      </c>
      <c r="I21" s="22">
        <f>_xlfn.XLOOKUP(A21,'Lacquer DPR - ABS - Pramara'!$A$4:$A$26,'Lacquer DPR - ABS - Pramara'!$F$4:$F$26)</f>
        <v>0</v>
      </c>
      <c r="J21" s="23">
        <f t="shared" si="51"/>
        <v>0</v>
      </c>
      <c r="K21" s="23">
        <f t="shared" si="53"/>
        <v>1.68</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7"/>
    </row>
    <row r="22" spans="1:113" ht="15" thickBot="1" x14ac:dyDescent="0.35">
      <c r="A22" s="2" t="s">
        <v>47</v>
      </c>
      <c r="B22" s="3" t="s">
        <v>48</v>
      </c>
      <c r="C22" s="3" t="s">
        <v>165</v>
      </c>
      <c r="D22" s="3" t="s">
        <v>127</v>
      </c>
      <c r="E22" s="9">
        <f>SUMIF('Sunglasses BOM'!$D$1:$D$79,B22,'Sunglasses BOM'!$E$1:$E$79)</f>
        <v>16800</v>
      </c>
      <c r="F22" s="2" cm="1">
        <f t="array" ref="F22">SUMPRODUCT((MOD(COLUMN($M22:$FR22)-COLUMN($M22),2)=0)*($M22:$FR22))</f>
        <v>0</v>
      </c>
      <c r="G22" s="9">
        <f t="shared" si="52"/>
        <v>16800</v>
      </c>
      <c r="H22" s="42">
        <v>5000</v>
      </c>
      <c r="I22" s="22">
        <f>_xlfn.XLOOKUP(A22,'Lacquer DPR - ABS - Pramara'!$A$4:$A$26,'Lacquer DPR - ABS - Pramara'!$F$4:$F$26)</f>
        <v>0</v>
      </c>
      <c r="J22" s="23">
        <f t="shared" si="51"/>
        <v>0</v>
      </c>
      <c r="K22" s="23">
        <f t="shared" si="53"/>
        <v>3.36</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7"/>
    </row>
    <row r="23" spans="1:113" ht="15" thickBot="1" x14ac:dyDescent="0.35">
      <c r="A23" s="2" t="s">
        <v>49</v>
      </c>
      <c r="B23" s="3" t="s">
        <v>50</v>
      </c>
      <c r="C23" s="3" t="s">
        <v>166</v>
      </c>
      <c r="D23" s="3" t="s">
        <v>128</v>
      </c>
      <c r="E23" s="9">
        <f>SUMIF('Sunglasses BOM'!$D$1:$D$79,B23,'Sunglasses BOM'!$E$1:$E$79)</f>
        <v>25200</v>
      </c>
      <c r="F23" s="2" cm="1">
        <f t="array" ref="F23">SUMPRODUCT((MOD(COLUMN($M23:$FR23)-COLUMN($M23),2)=0)*($M23:$FR23))</f>
        <v>0</v>
      </c>
      <c r="G23" s="9">
        <f t="shared" si="52"/>
        <v>25200</v>
      </c>
      <c r="H23" s="42">
        <v>5000</v>
      </c>
      <c r="I23" s="22">
        <f>_xlfn.XLOOKUP(A23,'Lacquer DPR - ABS - Pramara'!$A$4:$A$26,'Lacquer DPR - ABS - Pramara'!$F$4:$F$26)</f>
        <v>0</v>
      </c>
      <c r="J23" s="23">
        <f t="shared" si="51"/>
        <v>0</v>
      </c>
      <c r="K23" s="23">
        <f t="shared" si="53"/>
        <v>5.04</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7"/>
    </row>
    <row r="24" spans="1:113" ht="15" thickBot="1" x14ac:dyDescent="0.35">
      <c r="A24" s="2" t="s">
        <v>51</v>
      </c>
      <c r="B24" s="3" t="s">
        <v>52</v>
      </c>
      <c r="C24" s="3" t="s">
        <v>167</v>
      </c>
      <c r="D24" s="3" t="s">
        <v>129</v>
      </c>
      <c r="E24" s="9">
        <f>SUMIF('Sunglasses BOM'!$D$1:$D$79,B24,'Sunglasses BOM'!$E$1:$E$79)</f>
        <v>16800</v>
      </c>
      <c r="F24" s="2" cm="1">
        <f t="array" ref="F24">SUMPRODUCT((MOD(COLUMN($M24:$FR24)-COLUMN($M24),2)=0)*($M24:$FR24))</f>
        <v>0</v>
      </c>
      <c r="G24" s="9">
        <f t="shared" si="52"/>
        <v>16800</v>
      </c>
      <c r="H24" s="42">
        <v>5000</v>
      </c>
      <c r="I24" s="22">
        <f>_xlfn.XLOOKUP(A24,'Lacquer DPR - ABS - Pramara'!$A$4:$A$26,'Lacquer DPR - ABS - Pramara'!$F$4:$F$26)</f>
        <v>0</v>
      </c>
      <c r="J24" s="23">
        <f t="shared" si="51"/>
        <v>0</v>
      </c>
      <c r="K24" s="23">
        <f t="shared" si="53"/>
        <v>3.36</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7"/>
    </row>
    <row r="25" spans="1:113" ht="15" thickBot="1" x14ac:dyDescent="0.35">
      <c r="A25" s="2" t="s">
        <v>53</v>
      </c>
      <c r="B25" s="3" t="s">
        <v>54</v>
      </c>
      <c r="C25" s="3" t="s">
        <v>168</v>
      </c>
      <c r="D25" s="3" t="s">
        <v>130</v>
      </c>
      <c r="E25" s="9">
        <f>SUMIF('Sunglasses BOM'!$D$1:$D$79,B25,'Sunglasses BOM'!$E$1:$E$79)</f>
        <v>16800</v>
      </c>
      <c r="F25" s="2" cm="1">
        <f t="array" ref="F25">SUMPRODUCT((MOD(COLUMN($M25:$FR25)-COLUMN($M25),2)=0)*($M25:$FR25))</f>
        <v>0</v>
      </c>
      <c r="G25" s="9">
        <f t="shared" si="52"/>
        <v>16800</v>
      </c>
      <c r="H25" s="42">
        <v>5000</v>
      </c>
      <c r="I25" s="22">
        <f>_xlfn.XLOOKUP(A25,'Lacquer DPR - ABS - Pramara'!$A$4:$A$26,'Lacquer DPR - ABS - Pramara'!$F$4:$F$26)</f>
        <v>0</v>
      </c>
      <c r="J25" s="23">
        <f t="shared" si="51"/>
        <v>0</v>
      </c>
      <c r="K25" s="23">
        <f t="shared" si="53"/>
        <v>3.36</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7"/>
    </row>
    <row r="26" spans="1:113" ht="15" thickBot="1" x14ac:dyDescent="0.35">
      <c r="A26" s="4" t="s">
        <v>55</v>
      </c>
      <c r="B26" s="5" t="s">
        <v>56</v>
      </c>
      <c r="C26" s="5" t="s">
        <v>169</v>
      </c>
      <c r="D26" s="5" t="s">
        <v>123</v>
      </c>
      <c r="E26" s="9">
        <f>SUMIF('Sunglasses BOM'!$D$1:$D$79,B26,'Sunglasses BOM'!$E$1:$E$79)</f>
        <v>16800</v>
      </c>
      <c r="F26" s="4" cm="1">
        <f t="array" ref="F26">SUMPRODUCT((MOD(COLUMN($M26:$FR26)-COLUMN($M26),2)=0)*($M26:$FR26))</f>
        <v>0</v>
      </c>
      <c r="G26" s="10">
        <f t="shared" si="52"/>
        <v>16800</v>
      </c>
      <c r="H26" s="42">
        <v>5000</v>
      </c>
      <c r="I26" s="22">
        <f>_xlfn.XLOOKUP(A26,'Lacquer DPR - ABS - Pramara'!$A$4:$A$26,'Lacquer DPR - ABS - Pramara'!$F$4:$F$26)</f>
        <v>0</v>
      </c>
      <c r="J26" s="23">
        <f t="shared" si="51"/>
        <v>0</v>
      </c>
      <c r="K26" s="25">
        <f t="shared" si="53"/>
        <v>3.36</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7"/>
    </row>
  </sheetData>
  <mergeCells count="102">
    <mergeCell ref="DF2:DG2"/>
    <mergeCell ref="DH2:DI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DD1:DE1"/>
    <mergeCell ref="DF1:DG1"/>
    <mergeCell ref="DH1:DI1"/>
    <mergeCell ref="CV1:CW1"/>
    <mergeCell ref="CX1:CY1"/>
    <mergeCell ref="CZ1:DA1"/>
    <mergeCell ref="DB1:DC1"/>
    <mergeCell ref="BN1:BO1"/>
    <mergeCell ref="BP1:BQ1"/>
    <mergeCell ref="BR1:BS1"/>
    <mergeCell ref="CR1:CS1"/>
    <mergeCell ref="CT1:CU1"/>
    <mergeCell ref="CF1:CG1"/>
    <mergeCell ref="CH1:CI1"/>
    <mergeCell ref="CJ1:CK1"/>
    <mergeCell ref="CL1:CM1"/>
    <mergeCell ref="CN1:CO1"/>
    <mergeCell ref="CP1:CQ1"/>
    <mergeCell ref="BT1:BU1"/>
    <mergeCell ref="BV1:BW1"/>
    <mergeCell ref="BX1:BY1"/>
    <mergeCell ref="BZ1:CA1"/>
    <mergeCell ref="CB1:CC1"/>
    <mergeCell ref="CD1:CE1"/>
    <mergeCell ref="BJ1:BK1"/>
    <mergeCell ref="BL1:BM1"/>
    <mergeCell ref="Z2:AA2"/>
    <mergeCell ref="AB2:AC2"/>
    <mergeCell ref="AD2:AE2"/>
    <mergeCell ref="AF2:AG2"/>
    <mergeCell ref="AH2:AI2"/>
    <mergeCell ref="AJ2:AK2"/>
    <mergeCell ref="AV1:AW1"/>
    <mergeCell ref="AX1:AY1"/>
    <mergeCell ref="AZ1:BA1"/>
    <mergeCell ref="BB1:BC1"/>
    <mergeCell ref="BD1:BE1"/>
    <mergeCell ref="BF1:BG1"/>
    <mergeCell ref="AJ1:AK1"/>
    <mergeCell ref="AL1:AM1"/>
    <mergeCell ref="AX2:AY2"/>
    <mergeCell ref="AZ2:BA2"/>
    <mergeCell ref="BB2:BC2"/>
    <mergeCell ref="BD2:BE2"/>
    <mergeCell ref="BF2:BG2"/>
    <mergeCell ref="BH2:BI2"/>
    <mergeCell ref="AL2:AM2"/>
    <mergeCell ref="AV2:AW2"/>
    <mergeCell ref="BH1:BI1"/>
    <mergeCell ref="L2:M2"/>
    <mergeCell ref="N2:O2"/>
    <mergeCell ref="P2:Q2"/>
    <mergeCell ref="R2:S2"/>
    <mergeCell ref="T2:U2"/>
    <mergeCell ref="V2:W2"/>
    <mergeCell ref="X2:Y2"/>
    <mergeCell ref="AN2:AO2"/>
    <mergeCell ref="AP2:AQ2"/>
    <mergeCell ref="AN1:AO1"/>
    <mergeCell ref="AP1:AQ1"/>
    <mergeCell ref="AR1:AS1"/>
    <mergeCell ref="AT1:AU1"/>
    <mergeCell ref="X1:Y1"/>
    <mergeCell ref="Z1:AA1"/>
    <mergeCell ref="AB1:AC1"/>
    <mergeCell ref="AD1:AE1"/>
    <mergeCell ref="AF1:AG1"/>
    <mergeCell ref="AH1:AI1"/>
    <mergeCell ref="AR2:AS2"/>
    <mergeCell ref="AT2:AU2"/>
    <mergeCell ref="L1:M1"/>
    <mergeCell ref="N1:O1"/>
    <mergeCell ref="P1:Q1"/>
    <mergeCell ref="R1:S1"/>
    <mergeCell ref="T1:U1"/>
    <mergeCell ref="V1:W1"/>
  </mergeCells>
  <conditionalFormatting sqref="J4:J26">
    <cfRule type="cellIs" dxfId="15" priority="1" operator="lessThan">
      <formula>0</formula>
    </cfRule>
  </conditionalFormatting>
  <conditionalFormatting sqref="L2:DI2">
    <cfRule type="expression" dxfId="14" priority="3">
      <formula>SUM(L$4:L$17)&gt;$H$4</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09695-1E0D-4604-A062-002FAB9C381C}">
  <dimension ref="A1:DI26"/>
  <sheetViews>
    <sheetView workbookViewId="0">
      <selection activeCell="H26" sqref="H26"/>
    </sheetView>
  </sheetViews>
  <sheetFormatPr defaultRowHeight="14.4" x14ac:dyDescent="0.3"/>
  <cols>
    <col min="1" max="1" width="13.21875" bestFit="1" customWidth="1"/>
    <col min="2" max="2" width="29.44140625" bestFit="1" customWidth="1"/>
    <col min="3" max="3" width="13.5546875" bestFit="1" customWidth="1"/>
    <col min="4" max="4" width="11.6640625" bestFit="1" customWidth="1"/>
    <col min="5" max="5" width="6.77734375" bestFit="1" customWidth="1"/>
    <col min="6" max="6" width="8.109375" bestFit="1" customWidth="1"/>
    <col min="7" max="7" width="7.44140625" bestFit="1" customWidth="1"/>
    <col min="8" max="8" width="7.77734375" bestFit="1" customWidth="1"/>
    <col min="9" max="9" width="8.33203125" bestFit="1" customWidth="1"/>
    <col min="11" max="11" width="8.5546875" bestFit="1" customWidth="1"/>
    <col min="12" max="12" width="7.5546875" bestFit="1" customWidth="1"/>
    <col min="13" max="13" width="6" bestFit="1" customWidth="1"/>
    <col min="14" max="14" width="7.5546875" bestFit="1" customWidth="1"/>
    <col min="15" max="15" width="6" bestFit="1" customWidth="1"/>
    <col min="16" max="16" width="7.5546875" bestFit="1" customWidth="1"/>
    <col min="17" max="17" width="6" bestFit="1" customWidth="1"/>
    <col min="18" max="18" width="7.5546875" bestFit="1" customWidth="1"/>
    <col min="19" max="19" width="6" bestFit="1" customWidth="1"/>
    <col min="20" max="20" width="7.5546875" bestFit="1" customWidth="1"/>
    <col min="21" max="21" width="6" bestFit="1" customWidth="1"/>
    <col min="22" max="22" width="7.5546875" bestFit="1" customWidth="1"/>
    <col min="23" max="23" width="6" bestFit="1" customWidth="1"/>
    <col min="24" max="24" width="7.5546875" bestFit="1" customWidth="1"/>
    <col min="25" max="25" width="6" bestFit="1" customWidth="1"/>
    <col min="26" max="26" width="7.5546875" bestFit="1" customWidth="1"/>
    <col min="27" max="27" width="6" bestFit="1" customWidth="1"/>
    <col min="28" max="28" width="7.5546875" bestFit="1" customWidth="1"/>
    <col min="29" max="29" width="6" bestFit="1" customWidth="1"/>
    <col min="30" max="30" width="7.5546875" bestFit="1" customWidth="1"/>
    <col min="31" max="31" width="6" bestFit="1" customWidth="1"/>
    <col min="32" max="32" width="7.5546875" bestFit="1" customWidth="1"/>
    <col min="33" max="33" width="6" bestFit="1" customWidth="1"/>
    <col min="34" max="34" width="7.5546875" bestFit="1" customWidth="1"/>
    <col min="35" max="35" width="6" bestFit="1" customWidth="1"/>
    <col min="36" max="36" width="7.5546875" bestFit="1" customWidth="1"/>
    <col min="37" max="37" width="6" bestFit="1" customWidth="1"/>
    <col min="38" max="38" width="7.5546875" bestFit="1" customWidth="1"/>
    <col min="39" max="39" width="6" bestFit="1" customWidth="1"/>
    <col min="40" max="40" width="7.5546875" bestFit="1" customWidth="1"/>
    <col min="41" max="41" width="6" bestFit="1" customWidth="1"/>
    <col min="42" max="42" width="7.5546875" bestFit="1" customWidth="1"/>
    <col min="43" max="43" width="6" bestFit="1" customWidth="1"/>
    <col min="44" max="44" width="7.5546875" bestFit="1" customWidth="1"/>
    <col min="45" max="45" width="6" bestFit="1" customWidth="1"/>
    <col min="46" max="46" width="7.5546875" bestFit="1" customWidth="1"/>
    <col min="47" max="47" width="6" bestFit="1" customWidth="1"/>
    <col min="48" max="48" width="7.5546875" bestFit="1" customWidth="1"/>
    <col min="49" max="49" width="6" bestFit="1" customWidth="1"/>
    <col min="50" max="50" width="7.5546875" bestFit="1" customWidth="1"/>
    <col min="51" max="51" width="6" bestFit="1" customWidth="1"/>
    <col min="52" max="52" width="7.5546875" bestFit="1" customWidth="1"/>
    <col min="53" max="53" width="6" bestFit="1" customWidth="1"/>
    <col min="54" max="54" width="7.5546875" bestFit="1" customWidth="1"/>
    <col min="55" max="55" width="6" bestFit="1" customWidth="1"/>
    <col min="56" max="56" width="7.5546875" bestFit="1" customWidth="1"/>
    <col min="57" max="57" width="6" bestFit="1" customWidth="1"/>
    <col min="58" max="58" width="7.5546875" bestFit="1" customWidth="1"/>
    <col min="59" max="59" width="6" bestFit="1" customWidth="1"/>
    <col min="60" max="60" width="7.5546875" bestFit="1" customWidth="1"/>
    <col min="61" max="61" width="6" bestFit="1" customWidth="1"/>
    <col min="62" max="62" width="7.5546875" bestFit="1" customWidth="1"/>
    <col min="63" max="63" width="6" bestFit="1" customWidth="1"/>
    <col min="64" max="64" width="7.5546875" bestFit="1" customWidth="1"/>
    <col min="65" max="65" width="6" bestFit="1" customWidth="1"/>
    <col min="66" max="66" width="7.5546875" bestFit="1" customWidth="1"/>
    <col min="67" max="67" width="6" bestFit="1" customWidth="1"/>
    <col min="68" max="68" width="7.5546875" bestFit="1" customWidth="1"/>
    <col min="69" max="69" width="6" bestFit="1" customWidth="1"/>
    <col min="70" max="70" width="7.5546875" bestFit="1" customWidth="1"/>
    <col min="71" max="71" width="6" bestFit="1" customWidth="1"/>
    <col min="72" max="72" width="7.5546875" bestFit="1" customWidth="1"/>
    <col min="73" max="73" width="6" bestFit="1" customWidth="1"/>
    <col min="74" max="74" width="7.5546875" bestFit="1" customWidth="1"/>
    <col min="75" max="75" width="6" bestFit="1" customWidth="1"/>
    <col min="76" max="76" width="7.5546875" bestFit="1" customWidth="1"/>
    <col min="77" max="77" width="6" bestFit="1" customWidth="1"/>
    <col min="78" max="78" width="7.5546875" bestFit="1" customWidth="1"/>
    <col min="79" max="79" width="6" bestFit="1" customWidth="1"/>
    <col min="80" max="80" width="7.5546875" bestFit="1" customWidth="1"/>
    <col min="81" max="81" width="6" bestFit="1" customWidth="1"/>
    <col min="82" max="82" width="7.5546875" bestFit="1" customWidth="1"/>
    <col min="83" max="83" width="6" bestFit="1" customWidth="1"/>
    <col min="84" max="84" width="7.5546875" bestFit="1" customWidth="1"/>
    <col min="85" max="85" width="6" bestFit="1" customWidth="1"/>
    <col min="86" max="86" width="7.5546875" bestFit="1" customWidth="1"/>
    <col min="87" max="87" width="6" bestFit="1" customWidth="1"/>
    <col min="88" max="88" width="7.5546875" bestFit="1" customWidth="1"/>
    <col min="89" max="89" width="6" bestFit="1" customWidth="1"/>
    <col min="90" max="90" width="7.5546875" bestFit="1" customWidth="1"/>
    <col min="91" max="91" width="6" bestFit="1" customWidth="1"/>
    <col min="92" max="92" width="7.5546875" bestFit="1" customWidth="1"/>
    <col min="93" max="93" width="6" bestFit="1" customWidth="1"/>
    <col min="94" max="94" width="7.5546875" bestFit="1" customWidth="1"/>
    <col min="95" max="95" width="6" bestFit="1" customWidth="1"/>
    <col min="96" max="96" width="7.5546875" bestFit="1" customWidth="1"/>
    <col min="97" max="97" width="6" bestFit="1" customWidth="1"/>
    <col min="98" max="98" width="7.5546875" bestFit="1" customWidth="1"/>
    <col min="99" max="99" width="6" bestFit="1" customWidth="1"/>
    <col min="100" max="100" width="7.5546875" bestFit="1" customWidth="1"/>
    <col min="101" max="101" width="6" bestFit="1" customWidth="1"/>
    <col min="102" max="102" width="7.5546875" bestFit="1" customWidth="1"/>
    <col min="103" max="103" width="6" bestFit="1" customWidth="1"/>
    <col min="104" max="104" width="7.5546875" bestFit="1" customWidth="1"/>
    <col min="105" max="105" width="6" bestFit="1" customWidth="1"/>
    <col min="106" max="106" width="7.5546875" bestFit="1" customWidth="1"/>
    <col min="107" max="107" width="6" bestFit="1" customWidth="1"/>
    <col min="108" max="108" width="7.5546875" bestFit="1" customWidth="1"/>
    <col min="109" max="109" width="6" bestFit="1" customWidth="1"/>
    <col min="110" max="110" width="7.5546875" bestFit="1" customWidth="1"/>
    <col min="111" max="111" width="6" bestFit="1" customWidth="1"/>
    <col min="112" max="112" width="7.5546875" bestFit="1" customWidth="1"/>
    <col min="113" max="113" width="6" bestFit="1" customWidth="1"/>
  </cols>
  <sheetData>
    <row r="1" spans="1:113"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row>
    <row r="2" spans="1:113"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row>
    <row r="3" spans="1:113" ht="72" x14ac:dyDescent="0.3">
      <c r="A3" s="38" t="s">
        <v>505</v>
      </c>
      <c r="B3" s="39" t="s">
        <v>3</v>
      </c>
      <c r="C3" s="49" t="s">
        <v>180</v>
      </c>
      <c r="D3" s="49" t="s">
        <v>503</v>
      </c>
      <c r="E3" s="40" t="s">
        <v>419</v>
      </c>
      <c r="F3" s="51" t="s">
        <v>420</v>
      </c>
      <c r="G3" s="52" t="s">
        <v>421</v>
      </c>
      <c r="H3" s="38" t="s">
        <v>423</v>
      </c>
      <c r="I3" s="39" t="s">
        <v>506</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row>
    <row r="4" spans="1:113"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output'!$F$18</f>
        <v>31680</v>
      </c>
      <c r="I4" s="22">
        <f>_xlfn.XLOOKUP(A4,'Riveting DPR - ABS - Pramara'!$A$4:$A$26,'Riveting DPR - ABS - Pramara'!$F$4:$F$26)</f>
        <v>0</v>
      </c>
      <c r="J4" s="23">
        <f>I4-F4</f>
        <v>0</v>
      </c>
      <c r="K4" s="54">
        <f t="shared" ref="K4:K17" si="49">G4/H4</f>
        <v>6.8939393939393936</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row>
    <row r="5" spans="1:113" x14ac:dyDescent="0.3">
      <c r="A5" s="2" t="s">
        <v>11</v>
      </c>
      <c r="B5" s="3" t="s">
        <v>12</v>
      </c>
      <c r="C5" s="3" t="s">
        <v>156</v>
      </c>
      <c r="D5" s="3" t="s">
        <v>131</v>
      </c>
      <c r="E5" s="6">
        <f>SUMIF('Sunglasses BOM'!$D$1:$D$79,B5,'Sunglasses BOM'!$E$1:$E$79)</f>
        <v>100800</v>
      </c>
      <c r="F5" s="32" cm="1">
        <f t="array" ref="F5">SUMPRODUCT((MOD(COLUMN($M5:$FR5)-COLUMN($M5),2)=0)*($M5:$FR5))</f>
        <v>0</v>
      </c>
      <c r="G5" s="9">
        <f t="shared" ref="G5:G26" si="50">E5-F5</f>
        <v>100800</v>
      </c>
      <c r="H5" s="42">
        <f>'Final Processes daily output'!$F$18</f>
        <v>31680</v>
      </c>
      <c r="I5" s="22">
        <f>_xlfn.XLOOKUP(A5,'Riveting DPR - ABS - Pramara'!$A$4:$A$26,'Riveting DPR - ABS - Pramara'!$F$4:$F$26)</f>
        <v>0</v>
      </c>
      <c r="J5" s="23">
        <f t="shared" ref="J5:J26" si="51">I5-F5</f>
        <v>0</v>
      </c>
      <c r="K5" s="54">
        <f t="shared" si="49"/>
        <v>3.1818181818181817</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row>
    <row r="6" spans="1:113" x14ac:dyDescent="0.3">
      <c r="A6" s="2" t="s">
        <v>13</v>
      </c>
      <c r="B6" s="3" t="s">
        <v>14</v>
      </c>
      <c r="C6" s="3" t="s">
        <v>157</v>
      </c>
      <c r="D6" s="3" t="s">
        <v>116</v>
      </c>
      <c r="E6" s="6">
        <f>SUMIF('Sunglasses BOM'!$D$1:$D$79,B6,'Sunglasses BOM'!$E$1:$E$79)</f>
        <v>151200</v>
      </c>
      <c r="F6" s="32" cm="1">
        <f t="array" ref="F6">SUMPRODUCT((MOD(COLUMN($M6:$FR6)-COLUMN($M6),2)=0)*($M6:$FR6))</f>
        <v>0</v>
      </c>
      <c r="G6" s="9">
        <f t="shared" si="50"/>
        <v>151200</v>
      </c>
      <c r="H6" s="42">
        <f>'Final Processes daily output'!$F$18</f>
        <v>31680</v>
      </c>
      <c r="I6" s="22">
        <f>_xlfn.XLOOKUP(A6,'Riveting DPR - ABS - Pramara'!$A$4:$A$26,'Riveting DPR - ABS - Pramara'!$F$4:$F$26)</f>
        <v>0</v>
      </c>
      <c r="J6" s="23">
        <f t="shared" si="51"/>
        <v>0</v>
      </c>
      <c r="K6" s="54">
        <f t="shared" si="49"/>
        <v>4.7727272727272725</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row>
    <row r="7" spans="1:113" x14ac:dyDescent="0.3">
      <c r="A7" s="2" t="s">
        <v>15</v>
      </c>
      <c r="B7" s="3" t="s">
        <v>16</v>
      </c>
      <c r="C7" s="3" t="s">
        <v>158</v>
      </c>
      <c r="D7" s="3" t="s">
        <v>132</v>
      </c>
      <c r="E7" s="6">
        <f>SUMIF('Sunglasses BOM'!$D$1:$D$79,B7,'Sunglasses BOM'!$E$1:$E$79)</f>
        <v>100800</v>
      </c>
      <c r="F7" s="32" cm="1">
        <f t="array" ref="F7">SUMPRODUCT((MOD(COLUMN($M7:$FR7)-COLUMN($M7),2)=0)*($M7:$FR7))</f>
        <v>0</v>
      </c>
      <c r="G7" s="9">
        <f t="shared" si="50"/>
        <v>100800</v>
      </c>
      <c r="H7" s="42">
        <f>'Final Processes daily output'!$F$18</f>
        <v>31680</v>
      </c>
      <c r="I7" s="22">
        <f>_xlfn.XLOOKUP(A7,'Riveting DPR - ABS - Pramara'!$A$4:$A$26,'Riveting DPR - ABS - Pramara'!$F$4:$F$26)</f>
        <v>0</v>
      </c>
      <c r="J7" s="23">
        <f t="shared" si="51"/>
        <v>0</v>
      </c>
      <c r="K7" s="54">
        <f t="shared" si="49"/>
        <v>3.1818181818181817</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row>
    <row r="8" spans="1:113" x14ac:dyDescent="0.3">
      <c r="A8" s="2" t="s">
        <v>17</v>
      </c>
      <c r="B8" s="3" t="s">
        <v>18</v>
      </c>
      <c r="C8" s="3" t="s">
        <v>159</v>
      </c>
      <c r="D8" s="3" t="s">
        <v>113</v>
      </c>
      <c r="E8" s="6">
        <f>SUMIF('Sunglasses BOM'!$D$1:$D$79,B8,'Sunglasses BOM'!$E$1:$E$79)</f>
        <v>134400</v>
      </c>
      <c r="F8" s="32" cm="1">
        <f t="array" ref="F8">SUMPRODUCT((MOD(COLUMN($M8:$FR8)-COLUMN($M8),2)=0)*($M8:$FR8))</f>
        <v>0</v>
      </c>
      <c r="G8" s="9">
        <f t="shared" si="50"/>
        <v>134400</v>
      </c>
      <c r="H8" s="42">
        <f>'Final Processes daily output'!$F$18</f>
        <v>31680</v>
      </c>
      <c r="I8" s="22">
        <f>_xlfn.XLOOKUP(A8,'Riveting DPR - ABS - Pramara'!$A$4:$A$26,'Riveting DPR - ABS - Pramara'!$F$4:$F$26)</f>
        <v>0</v>
      </c>
      <c r="J8" s="23">
        <f t="shared" si="51"/>
        <v>0</v>
      </c>
      <c r="K8" s="54">
        <f t="shared" si="49"/>
        <v>4.2424242424242422</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row>
    <row r="9" spans="1:113" x14ac:dyDescent="0.3">
      <c r="A9" s="2" t="s">
        <v>21</v>
      </c>
      <c r="B9" s="3" t="s">
        <v>22</v>
      </c>
      <c r="C9" s="3" t="s">
        <v>160</v>
      </c>
      <c r="D9" s="3" t="s">
        <v>112</v>
      </c>
      <c r="E9" s="6">
        <f>SUMIF('Sunglasses BOM'!$D$1:$D$79,B9,'Sunglasses BOM'!$E$1:$E$79)</f>
        <v>33600</v>
      </c>
      <c r="F9" s="32" cm="1">
        <f t="array" ref="F9">SUMPRODUCT((MOD(COLUMN($M9:$FR9)-COLUMN($M9),2)=0)*($M9:$FR9))</f>
        <v>0</v>
      </c>
      <c r="G9" s="9">
        <f t="shared" si="50"/>
        <v>33600</v>
      </c>
      <c r="H9" s="42">
        <f>'Final Processes daily output'!$F$18</f>
        <v>31680</v>
      </c>
      <c r="I9" s="22">
        <f>_xlfn.XLOOKUP(A9,'Riveting DPR - ABS - Pramara'!$A$4:$A$26,'Riveting DPR - ABS - Pramara'!$F$4:$F$26)</f>
        <v>0</v>
      </c>
      <c r="J9" s="23">
        <f t="shared" si="51"/>
        <v>0</v>
      </c>
      <c r="K9" s="54">
        <f t="shared" si="49"/>
        <v>1.0606060606060606</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row>
    <row r="10" spans="1:113" x14ac:dyDescent="0.3">
      <c r="A10" s="2" t="s">
        <v>23</v>
      </c>
      <c r="B10" s="3" t="s">
        <v>24</v>
      </c>
      <c r="C10" s="3" t="s">
        <v>160</v>
      </c>
      <c r="D10" s="3" t="s">
        <v>112</v>
      </c>
      <c r="E10" s="6">
        <f>SUMIF('Sunglasses BOM'!$D$1:$D$79,B10,'Sunglasses BOM'!$E$1:$E$79)</f>
        <v>16800</v>
      </c>
      <c r="F10" s="32" cm="1">
        <f t="array" ref="F10">SUMPRODUCT((MOD(COLUMN($M10:$FR10)-COLUMN($M10),2)=0)*($M10:$FR10))</f>
        <v>0</v>
      </c>
      <c r="G10" s="9">
        <f t="shared" si="50"/>
        <v>16800</v>
      </c>
      <c r="H10" s="42">
        <f>'Final Processes daily output'!$F$18</f>
        <v>31680</v>
      </c>
      <c r="I10" s="22">
        <f>_xlfn.XLOOKUP(A10,'Riveting DPR - ABS - Pramara'!$A$4:$A$26,'Riveting DPR - ABS - Pramara'!$F$4:$F$26)</f>
        <v>0</v>
      </c>
      <c r="J10" s="23">
        <f t="shared" si="51"/>
        <v>0</v>
      </c>
      <c r="K10" s="54">
        <f t="shared" si="49"/>
        <v>0.53030303030303028</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row>
    <row r="11" spans="1:113"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si="50"/>
        <v>25200</v>
      </c>
      <c r="H11" s="42">
        <f>'Final Processes daily output'!$F$18</f>
        <v>31680</v>
      </c>
      <c r="I11" s="22">
        <f>_xlfn.XLOOKUP(A11,'Riveting DPR - ABS - Pramara'!$A$4:$A$26,'Riveting DPR - ABS - Pramara'!$F$4:$F$26)</f>
        <v>0</v>
      </c>
      <c r="J11" s="23">
        <f t="shared" si="51"/>
        <v>0</v>
      </c>
      <c r="K11" s="55">
        <f t="shared" si="49"/>
        <v>0.79545454545454541</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row>
    <row r="12" spans="1:113"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0"/>
        <v>8400</v>
      </c>
      <c r="H12" s="42">
        <f>'Final Processes daily output'!$F$18</f>
        <v>31680</v>
      </c>
      <c r="I12" s="22">
        <f>_xlfn.XLOOKUP(A12,'Riveting DPR - ABS - Pramara'!$A$4:$A$26,'Riveting DPR - ABS - Pramara'!$F$4:$F$26)</f>
        <v>0</v>
      </c>
      <c r="J12" s="23">
        <f t="shared" si="51"/>
        <v>0</v>
      </c>
      <c r="K12" s="55">
        <f t="shared" si="49"/>
        <v>0.26515151515151514</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row>
    <row r="13" spans="1:113"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0"/>
        <v>42000</v>
      </c>
      <c r="H13" s="42">
        <f>'Final Processes daily output'!$F$18</f>
        <v>31680</v>
      </c>
      <c r="I13" s="22">
        <f>_xlfn.XLOOKUP(A13,'Riveting DPR - ABS - Pramara'!$A$4:$A$26,'Riveting DPR - ABS - Pramara'!$F$4:$F$26)</f>
        <v>0</v>
      </c>
      <c r="J13" s="23">
        <f t="shared" si="51"/>
        <v>0</v>
      </c>
      <c r="K13" s="55">
        <f t="shared" si="49"/>
        <v>1.3257575757575757</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row>
    <row r="14" spans="1:113"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0"/>
        <v>25200</v>
      </c>
      <c r="H14" s="42">
        <f>'Final Processes daily output'!$F$18</f>
        <v>31680</v>
      </c>
      <c r="I14" s="22">
        <f>_xlfn.XLOOKUP(A14,'Riveting DPR - ABS - Pramara'!$A$4:$A$26,'Riveting DPR - ABS - Pramara'!$F$4:$F$26)</f>
        <v>0</v>
      </c>
      <c r="J14" s="23">
        <f t="shared" si="51"/>
        <v>0</v>
      </c>
      <c r="K14" s="55">
        <f t="shared" si="49"/>
        <v>0.79545454545454541</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row>
    <row r="15" spans="1:113"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0"/>
        <v>16800</v>
      </c>
      <c r="H15" s="42">
        <f>'Final Processes daily output'!$F$18</f>
        <v>31680</v>
      </c>
      <c r="I15" s="22">
        <f>_xlfn.XLOOKUP(A15,'Riveting DPR - ABS - Pramara'!$A$4:$A$26,'Riveting DPR - ABS - Pramara'!$F$4:$F$26)</f>
        <v>0</v>
      </c>
      <c r="J15" s="23">
        <f t="shared" si="51"/>
        <v>0</v>
      </c>
      <c r="K15" s="55">
        <f t="shared" si="49"/>
        <v>0.53030303030303028</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row>
    <row r="16" spans="1:113"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0"/>
        <v>16800</v>
      </c>
      <c r="H16" s="42">
        <f>'Final Processes daily output'!$F$18</f>
        <v>31680</v>
      </c>
      <c r="I16" s="22">
        <f>_xlfn.XLOOKUP(A16,'Riveting DPR - ABS - Pramara'!$A$4:$A$26,'Riveting DPR - ABS - Pramara'!$F$4:$F$26)</f>
        <v>0</v>
      </c>
      <c r="J16" s="23">
        <f t="shared" si="51"/>
        <v>0</v>
      </c>
      <c r="K16" s="55">
        <f t="shared" si="49"/>
        <v>0.53030303030303028</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row>
    <row r="17" spans="1:113"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0"/>
        <v>16800</v>
      </c>
      <c r="H17" s="42">
        <f>'Final Processes daily output'!$F$18</f>
        <v>31680</v>
      </c>
      <c r="I17" s="22">
        <f>_xlfn.XLOOKUP(A17,'Riveting DPR - ABS - Pramara'!$A$4:$A$26,'Riveting DPR - ABS - Pramara'!$F$4:$F$26)</f>
        <v>0</v>
      </c>
      <c r="J17" s="23">
        <f t="shared" si="51"/>
        <v>0</v>
      </c>
      <c r="K17" s="55">
        <f t="shared" si="49"/>
        <v>0.53030303030303028</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row>
    <row r="18" spans="1:113" x14ac:dyDescent="0.3">
      <c r="A18" s="2" t="s">
        <v>25</v>
      </c>
      <c r="B18" s="3" t="s">
        <v>26</v>
      </c>
      <c r="C18" s="3" t="s">
        <v>161</v>
      </c>
      <c r="D18" s="3" t="s">
        <v>114</v>
      </c>
      <c r="E18" s="9">
        <f>SUMIF('Sunglasses BOM'!$D$1:$D$79,B18,'Sunglasses BOM'!$E$1:$E$79)</f>
        <v>25200</v>
      </c>
      <c r="F18" s="2" cm="1">
        <f t="array" ref="F18">SUMPRODUCT((MOD(COLUMN($M18:$FR18)-COLUMN($M18),2)=0)*($M18:$FR18))</f>
        <v>0</v>
      </c>
      <c r="G18" s="9">
        <f t="shared" si="50"/>
        <v>25200</v>
      </c>
      <c r="H18" s="42">
        <f>'Final Processes daily output'!$F$18</f>
        <v>31680</v>
      </c>
      <c r="I18" s="22">
        <f>_xlfn.XLOOKUP(A18,'Riveting DPR - ABS - Pramara'!$A$4:$A$26,'Riveting DPR - ABS - Pramara'!$F$4:$F$26)</f>
        <v>0</v>
      </c>
      <c r="J18" s="23">
        <f t="shared" si="51"/>
        <v>0</v>
      </c>
      <c r="K18" s="23">
        <f t="shared" ref="K18:K26" si="52">G18/H18</f>
        <v>0.79545454545454541</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6"/>
    </row>
    <row r="19" spans="1:113" ht="15" thickBot="1" x14ac:dyDescent="0.35">
      <c r="A19" s="2" t="s">
        <v>27</v>
      </c>
      <c r="B19" s="3" t="s">
        <v>28</v>
      </c>
      <c r="C19" s="3" t="s">
        <v>162</v>
      </c>
      <c r="D19" s="3" t="s">
        <v>115</v>
      </c>
      <c r="E19" s="9">
        <f>SUMIF('Sunglasses BOM'!$D$1:$D$79,B19,'Sunglasses BOM'!$E$1:$E$79)</f>
        <v>16800</v>
      </c>
      <c r="F19" s="2" cm="1">
        <f t="array" ref="F19">SUMPRODUCT((MOD(COLUMN($M19:$FR19)-COLUMN($M19),2)=0)*($M19:$FR19))</f>
        <v>0</v>
      </c>
      <c r="G19" s="9">
        <f t="shared" si="50"/>
        <v>16800</v>
      </c>
      <c r="H19" s="42">
        <f>'Final Processes daily output'!$F$18</f>
        <v>31680</v>
      </c>
      <c r="I19" s="22">
        <f>_xlfn.XLOOKUP(A19,'Riveting DPR - ABS - Pramara'!$A$4:$A$26,'Riveting DPR - ABS - Pramara'!$F$4:$F$26)</f>
        <v>0</v>
      </c>
      <c r="J19" s="23">
        <f t="shared" si="51"/>
        <v>0</v>
      </c>
      <c r="K19" s="23">
        <f t="shared" si="52"/>
        <v>0.53030303030303028</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7"/>
    </row>
    <row r="20" spans="1:113" ht="15" thickBot="1" x14ac:dyDescent="0.35">
      <c r="A20" s="2" t="s">
        <v>29</v>
      </c>
      <c r="B20" s="3" t="s">
        <v>30</v>
      </c>
      <c r="C20" s="3" t="s">
        <v>162</v>
      </c>
      <c r="D20" s="3" t="s">
        <v>115</v>
      </c>
      <c r="E20" s="9">
        <f>SUMIF('Sunglasses BOM'!$D$1:$D$79,B20,'Sunglasses BOM'!$E$1:$E$79)</f>
        <v>8400</v>
      </c>
      <c r="F20" s="2" cm="1">
        <f t="array" ref="F20">SUMPRODUCT((MOD(COLUMN($M20:$FR20)-COLUMN($M20),2)=0)*($M20:$FR20))</f>
        <v>0</v>
      </c>
      <c r="G20" s="9">
        <f t="shared" si="50"/>
        <v>8400</v>
      </c>
      <c r="H20" s="42">
        <f>'Final Processes daily output'!$F$18</f>
        <v>31680</v>
      </c>
      <c r="I20" s="22">
        <f>_xlfn.XLOOKUP(A20,'Riveting DPR - ABS - Pramara'!$A$4:$A$26,'Riveting DPR - ABS - Pramara'!$F$4:$F$26)</f>
        <v>0</v>
      </c>
      <c r="J20" s="23">
        <f t="shared" si="51"/>
        <v>0</v>
      </c>
      <c r="K20" s="23">
        <f t="shared" si="52"/>
        <v>0.26515151515151514</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7"/>
    </row>
    <row r="21" spans="1:113" ht="15" thickBot="1" x14ac:dyDescent="0.35">
      <c r="A21" s="2" t="s">
        <v>35</v>
      </c>
      <c r="B21" s="3" t="s">
        <v>36</v>
      </c>
      <c r="C21" s="3" t="s">
        <v>164</v>
      </c>
      <c r="D21" s="3" t="s">
        <v>117</v>
      </c>
      <c r="E21" s="9">
        <f>SUMIF('Sunglasses BOM'!$D$1:$D$79,B21,'Sunglasses BOM'!$E$1:$E$79)</f>
        <v>8400</v>
      </c>
      <c r="F21" s="2" cm="1">
        <f t="array" ref="F21">SUMPRODUCT((MOD(COLUMN($M21:$FR21)-COLUMN($M21),2)=0)*($M21:$FR21))</f>
        <v>0</v>
      </c>
      <c r="G21" s="9">
        <f t="shared" si="50"/>
        <v>8400</v>
      </c>
      <c r="H21" s="42">
        <f>'Final Processes daily output'!$F$18</f>
        <v>31680</v>
      </c>
      <c r="I21" s="22">
        <f>_xlfn.XLOOKUP(A21,'Riveting DPR - ABS - Pramara'!$A$4:$A$26,'Riveting DPR - ABS - Pramara'!$F$4:$F$26)</f>
        <v>0</v>
      </c>
      <c r="J21" s="23">
        <f t="shared" si="51"/>
        <v>0</v>
      </c>
      <c r="K21" s="23">
        <f t="shared" si="52"/>
        <v>0.26515151515151514</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7"/>
    </row>
    <row r="22" spans="1:113" ht="15" thickBot="1" x14ac:dyDescent="0.35">
      <c r="A22" s="2" t="s">
        <v>47</v>
      </c>
      <c r="B22" s="3" t="s">
        <v>48</v>
      </c>
      <c r="C22" s="3" t="s">
        <v>165</v>
      </c>
      <c r="D22" s="3" t="s">
        <v>127</v>
      </c>
      <c r="E22" s="9">
        <f>SUMIF('Sunglasses BOM'!$D$1:$D$79,B22,'Sunglasses BOM'!$E$1:$E$79)</f>
        <v>16800</v>
      </c>
      <c r="F22" s="2" cm="1">
        <f t="array" ref="F22">SUMPRODUCT((MOD(COLUMN($M22:$FR22)-COLUMN($M22),2)=0)*($M22:$FR22))</f>
        <v>0</v>
      </c>
      <c r="G22" s="9">
        <f t="shared" si="50"/>
        <v>16800</v>
      </c>
      <c r="H22" s="42">
        <f>'Final Processes daily output'!$F$18</f>
        <v>31680</v>
      </c>
      <c r="I22" s="22">
        <f>_xlfn.XLOOKUP(A22,'Riveting DPR - ABS - Pramara'!$A$4:$A$26,'Riveting DPR - ABS - Pramara'!$F$4:$F$26)</f>
        <v>0</v>
      </c>
      <c r="J22" s="23">
        <f t="shared" si="51"/>
        <v>0</v>
      </c>
      <c r="K22" s="23">
        <f t="shared" si="52"/>
        <v>0.53030303030303028</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7"/>
    </row>
    <row r="23" spans="1:113" ht="15" thickBot="1" x14ac:dyDescent="0.35">
      <c r="A23" s="2" t="s">
        <v>49</v>
      </c>
      <c r="B23" s="3" t="s">
        <v>50</v>
      </c>
      <c r="C23" s="3" t="s">
        <v>166</v>
      </c>
      <c r="D23" s="3" t="s">
        <v>128</v>
      </c>
      <c r="E23" s="9">
        <f>SUMIF('Sunglasses BOM'!$D$1:$D$79,B23,'Sunglasses BOM'!$E$1:$E$79)</f>
        <v>25200</v>
      </c>
      <c r="F23" s="2" cm="1">
        <f t="array" ref="F23">SUMPRODUCT((MOD(COLUMN($M23:$FR23)-COLUMN($M23),2)=0)*($M23:$FR23))</f>
        <v>0</v>
      </c>
      <c r="G23" s="9">
        <f t="shared" si="50"/>
        <v>25200</v>
      </c>
      <c r="H23" s="42">
        <f>'Final Processes daily output'!$F$18</f>
        <v>31680</v>
      </c>
      <c r="I23" s="22">
        <f>_xlfn.XLOOKUP(A23,'Riveting DPR - ABS - Pramara'!$A$4:$A$26,'Riveting DPR - ABS - Pramara'!$F$4:$F$26)</f>
        <v>0</v>
      </c>
      <c r="J23" s="23">
        <f t="shared" si="51"/>
        <v>0</v>
      </c>
      <c r="K23" s="23">
        <f t="shared" si="52"/>
        <v>0.79545454545454541</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7"/>
    </row>
    <row r="24" spans="1:113" ht="15" thickBot="1" x14ac:dyDescent="0.35">
      <c r="A24" s="2" t="s">
        <v>51</v>
      </c>
      <c r="B24" s="3" t="s">
        <v>52</v>
      </c>
      <c r="C24" s="3" t="s">
        <v>167</v>
      </c>
      <c r="D24" s="3" t="s">
        <v>129</v>
      </c>
      <c r="E24" s="9">
        <f>SUMIF('Sunglasses BOM'!$D$1:$D$79,B24,'Sunglasses BOM'!$E$1:$E$79)</f>
        <v>16800</v>
      </c>
      <c r="F24" s="2" cm="1">
        <f t="array" ref="F24">SUMPRODUCT((MOD(COLUMN($M24:$FR24)-COLUMN($M24),2)=0)*($M24:$FR24))</f>
        <v>0</v>
      </c>
      <c r="G24" s="9">
        <f t="shared" si="50"/>
        <v>16800</v>
      </c>
      <c r="H24" s="42">
        <f>'Final Processes daily output'!$F$18</f>
        <v>31680</v>
      </c>
      <c r="I24" s="22">
        <f>_xlfn.XLOOKUP(A24,'Riveting DPR - ABS - Pramara'!$A$4:$A$26,'Riveting DPR - ABS - Pramara'!$F$4:$F$26)</f>
        <v>0</v>
      </c>
      <c r="J24" s="23">
        <f t="shared" si="51"/>
        <v>0</v>
      </c>
      <c r="K24" s="23">
        <f t="shared" si="52"/>
        <v>0.53030303030303028</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7"/>
    </row>
    <row r="25" spans="1:113" ht="15" thickBot="1" x14ac:dyDescent="0.35">
      <c r="A25" s="2" t="s">
        <v>53</v>
      </c>
      <c r="B25" s="3" t="s">
        <v>54</v>
      </c>
      <c r="C25" s="3" t="s">
        <v>168</v>
      </c>
      <c r="D25" s="3" t="s">
        <v>130</v>
      </c>
      <c r="E25" s="9">
        <f>SUMIF('Sunglasses BOM'!$D$1:$D$79,B25,'Sunglasses BOM'!$E$1:$E$79)</f>
        <v>16800</v>
      </c>
      <c r="F25" s="2" cm="1">
        <f t="array" ref="F25">SUMPRODUCT((MOD(COLUMN($M25:$FR25)-COLUMN($M25),2)=0)*($M25:$FR25))</f>
        <v>0</v>
      </c>
      <c r="G25" s="9">
        <f t="shared" si="50"/>
        <v>16800</v>
      </c>
      <c r="H25" s="42">
        <f>'Final Processes daily output'!$F$18</f>
        <v>31680</v>
      </c>
      <c r="I25" s="22">
        <f>_xlfn.XLOOKUP(A25,'Riveting DPR - ABS - Pramara'!$A$4:$A$26,'Riveting DPR - ABS - Pramara'!$F$4:$F$26)</f>
        <v>0</v>
      </c>
      <c r="J25" s="23">
        <f t="shared" si="51"/>
        <v>0</v>
      </c>
      <c r="K25" s="23">
        <f t="shared" si="52"/>
        <v>0.53030303030303028</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7"/>
    </row>
    <row r="26" spans="1:113" ht="15" thickBot="1" x14ac:dyDescent="0.35">
      <c r="A26" s="4" t="s">
        <v>55</v>
      </c>
      <c r="B26" s="5" t="s">
        <v>56</v>
      </c>
      <c r="C26" s="5" t="s">
        <v>169</v>
      </c>
      <c r="D26" s="5" t="s">
        <v>123</v>
      </c>
      <c r="E26" s="9">
        <f>SUMIF('Sunglasses BOM'!$D$1:$D$79,B26,'Sunglasses BOM'!$E$1:$E$79)</f>
        <v>16800</v>
      </c>
      <c r="F26" s="4" cm="1">
        <f t="array" ref="F26">SUMPRODUCT((MOD(COLUMN($M26:$FR26)-COLUMN($M26),2)=0)*($M26:$FR26))</f>
        <v>0</v>
      </c>
      <c r="G26" s="10">
        <f t="shared" si="50"/>
        <v>16800</v>
      </c>
      <c r="H26" s="42">
        <f>'Final Processes daily output'!$F$18</f>
        <v>31680</v>
      </c>
      <c r="I26" s="22">
        <f>_xlfn.XLOOKUP(A26,'Riveting DPR - ABS - Pramara'!$A$4:$A$26,'Riveting DPR - ABS - Pramara'!$F$4:$F$26)</f>
        <v>0</v>
      </c>
      <c r="J26" s="23">
        <f t="shared" si="51"/>
        <v>0</v>
      </c>
      <c r="K26" s="25">
        <f t="shared" si="52"/>
        <v>0.53030303030303028</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7"/>
    </row>
  </sheetData>
  <mergeCells count="102">
    <mergeCell ref="DF2:DG2"/>
    <mergeCell ref="DH2:DI2"/>
    <mergeCell ref="CT2:CU2"/>
    <mergeCell ref="CV2:CW2"/>
    <mergeCell ref="CX2:CY2"/>
    <mergeCell ref="CZ2:DA2"/>
    <mergeCell ref="DB2:DC2"/>
    <mergeCell ref="DD2:DE2"/>
    <mergeCell ref="CH2:CI2"/>
    <mergeCell ref="CJ2:CK2"/>
    <mergeCell ref="CL2:CM2"/>
    <mergeCell ref="CN2:CO2"/>
    <mergeCell ref="CP2:CQ2"/>
    <mergeCell ref="CR2:CS2"/>
    <mergeCell ref="AV2:AW2"/>
    <mergeCell ref="BV2:BW2"/>
    <mergeCell ref="BX2:BY2"/>
    <mergeCell ref="BZ2:CA2"/>
    <mergeCell ref="CB2:CC2"/>
    <mergeCell ref="CD2:CE2"/>
    <mergeCell ref="CF2:CG2"/>
    <mergeCell ref="BJ2:BK2"/>
    <mergeCell ref="BL2:BM2"/>
    <mergeCell ref="BN2:BO2"/>
    <mergeCell ref="BP2:BQ2"/>
    <mergeCell ref="BR2:BS2"/>
    <mergeCell ref="BT2:BU2"/>
    <mergeCell ref="DD1:DE1"/>
    <mergeCell ref="DF1:DG1"/>
    <mergeCell ref="DH1:DI1"/>
    <mergeCell ref="CV1:CW1"/>
    <mergeCell ref="CX1:CY1"/>
    <mergeCell ref="CZ1:DA1"/>
    <mergeCell ref="DB1:DC1"/>
    <mergeCell ref="BN1:BO1"/>
    <mergeCell ref="BP1:BQ1"/>
    <mergeCell ref="BR1:BS1"/>
    <mergeCell ref="BH1:BI1"/>
    <mergeCell ref="BJ1:BK1"/>
    <mergeCell ref="BL1:BM1"/>
    <mergeCell ref="Z2:AA2"/>
    <mergeCell ref="AB2:AC2"/>
    <mergeCell ref="AD2:AE2"/>
    <mergeCell ref="AF2:AG2"/>
    <mergeCell ref="AH2:AI2"/>
    <mergeCell ref="AJ2:AK2"/>
    <mergeCell ref="AV1:AW1"/>
    <mergeCell ref="AX1:AY1"/>
    <mergeCell ref="AZ1:BA1"/>
    <mergeCell ref="BB1:BC1"/>
    <mergeCell ref="BD1:BE1"/>
    <mergeCell ref="BF1:BG1"/>
    <mergeCell ref="AJ1:AK1"/>
    <mergeCell ref="AL1:AM1"/>
    <mergeCell ref="AX2:AY2"/>
    <mergeCell ref="AZ2:BA2"/>
    <mergeCell ref="BB2:BC2"/>
    <mergeCell ref="BD2:BE2"/>
    <mergeCell ref="BF2:BG2"/>
    <mergeCell ref="BH2:BI2"/>
    <mergeCell ref="AL2:AM2"/>
    <mergeCell ref="CR1:CS1"/>
    <mergeCell ref="CT1:CU1"/>
    <mergeCell ref="CF1:CG1"/>
    <mergeCell ref="CH1:CI1"/>
    <mergeCell ref="CJ1:CK1"/>
    <mergeCell ref="CL1:CM1"/>
    <mergeCell ref="CN1:CO1"/>
    <mergeCell ref="CP1:CQ1"/>
    <mergeCell ref="BT1:BU1"/>
    <mergeCell ref="BV1:BW1"/>
    <mergeCell ref="BX1:BY1"/>
    <mergeCell ref="BZ1:CA1"/>
    <mergeCell ref="CB1:CC1"/>
    <mergeCell ref="CD1:CE1"/>
    <mergeCell ref="AT1:AU1"/>
    <mergeCell ref="X1:Y1"/>
    <mergeCell ref="Z1:AA1"/>
    <mergeCell ref="AB1:AC1"/>
    <mergeCell ref="AD1:AE1"/>
    <mergeCell ref="AF1:AG1"/>
    <mergeCell ref="AH1:AI1"/>
    <mergeCell ref="L2:M2"/>
    <mergeCell ref="N2:O2"/>
    <mergeCell ref="P2:Q2"/>
    <mergeCell ref="R2:S2"/>
    <mergeCell ref="T2:U2"/>
    <mergeCell ref="V2:W2"/>
    <mergeCell ref="X2:Y2"/>
    <mergeCell ref="AN2:AO2"/>
    <mergeCell ref="AP2:AQ2"/>
    <mergeCell ref="AR2:AS2"/>
    <mergeCell ref="AT2:AU2"/>
    <mergeCell ref="L1:M1"/>
    <mergeCell ref="N1:O1"/>
    <mergeCell ref="P1:Q1"/>
    <mergeCell ref="R1:S1"/>
    <mergeCell ref="T1:U1"/>
    <mergeCell ref="V1:W1"/>
    <mergeCell ref="AN1:AO1"/>
    <mergeCell ref="AP1:AQ1"/>
    <mergeCell ref="AR1:AS1"/>
  </mergeCells>
  <conditionalFormatting sqref="J4:J26">
    <cfRule type="cellIs" dxfId="13" priority="1" operator="lessThan">
      <formula>0</formula>
    </cfRule>
  </conditionalFormatting>
  <conditionalFormatting sqref="L2:DI2">
    <cfRule type="expression" dxfId="12" priority="2">
      <formula>SUM(L$4:L$17)&gt;$H$4</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F1EB8-FBEA-4657-BAA6-8B36790BAFD6}">
  <dimension ref="A1:DL27"/>
  <sheetViews>
    <sheetView workbookViewId="0">
      <selection activeCell="K4" sqref="K4"/>
    </sheetView>
  </sheetViews>
  <sheetFormatPr defaultRowHeight="14.4" x14ac:dyDescent="0.3"/>
  <cols>
    <col min="1" max="1" width="16.44140625" bestFit="1" customWidth="1"/>
    <col min="2" max="2" width="33.21875" bestFit="1" customWidth="1"/>
    <col min="3" max="3" width="13.5546875" bestFit="1" customWidth="1"/>
    <col min="4" max="4" width="11" bestFit="1" customWidth="1"/>
    <col min="5" max="5" width="14.44140625" bestFit="1" customWidth="1"/>
    <col min="6" max="6" width="11.88671875" bestFit="1" customWidth="1"/>
    <col min="7" max="7" width="10.21875" bestFit="1" customWidth="1"/>
    <col min="8" max="8" width="6.77734375" bestFit="1" customWidth="1"/>
    <col min="9" max="9" width="8.109375" bestFit="1" customWidth="1"/>
    <col min="10" max="10" width="7.44140625" bestFit="1" customWidth="1"/>
    <col min="11" max="11" width="7.77734375" bestFit="1" customWidth="1"/>
    <col min="12" max="12" width="9.77734375" customWidth="1"/>
    <col min="13" max="13" width="5.44140625" bestFit="1" customWidth="1"/>
    <col min="14" max="14" width="7.5546875" bestFit="1" customWidth="1"/>
    <col min="15" max="15" width="5.44140625" bestFit="1" customWidth="1"/>
    <col min="16" max="16" width="6" bestFit="1" customWidth="1"/>
    <col min="17" max="17" width="5.44140625" bestFit="1" customWidth="1"/>
    <col min="18" max="18" width="6" bestFit="1" customWidth="1"/>
    <col min="19" max="19" width="5.44140625" bestFit="1" customWidth="1"/>
    <col min="20" max="20" width="6" bestFit="1" customWidth="1"/>
    <col min="21" max="21" width="5.44140625" bestFit="1" customWidth="1"/>
    <col min="22" max="22" width="6" bestFit="1" customWidth="1"/>
    <col min="23" max="23" width="5.44140625" bestFit="1" customWidth="1"/>
    <col min="24" max="24" width="6" bestFit="1" customWidth="1"/>
    <col min="25" max="25" width="5.44140625" bestFit="1" customWidth="1"/>
    <col min="26" max="26" width="6" bestFit="1" customWidth="1"/>
    <col min="27" max="27" width="5.44140625" bestFit="1" customWidth="1"/>
    <col min="28" max="28" width="6" bestFit="1" customWidth="1"/>
    <col min="29" max="29" width="5.44140625" bestFit="1" customWidth="1"/>
    <col min="30" max="30" width="6" bestFit="1" customWidth="1"/>
    <col min="31" max="31" width="5.44140625" bestFit="1" customWidth="1"/>
    <col min="32" max="32" width="6" bestFit="1" customWidth="1"/>
    <col min="33" max="33" width="5.44140625" bestFit="1" customWidth="1"/>
    <col min="34" max="34" width="6" bestFit="1" customWidth="1"/>
    <col min="35" max="35" width="5.44140625" bestFit="1" customWidth="1"/>
    <col min="36" max="36" width="6" bestFit="1" customWidth="1"/>
    <col min="37" max="37" width="5.44140625" bestFit="1" customWidth="1"/>
    <col min="38" max="38" width="6" bestFit="1" customWidth="1"/>
    <col min="39" max="39" width="5.44140625" bestFit="1" customWidth="1"/>
    <col min="40" max="40" width="6" bestFit="1" customWidth="1"/>
    <col min="41" max="41" width="5.44140625" bestFit="1" customWidth="1"/>
    <col min="42" max="42" width="6" bestFit="1" customWidth="1"/>
    <col min="43" max="43" width="5.44140625" bestFit="1" customWidth="1"/>
    <col min="44" max="44" width="6" bestFit="1" customWidth="1"/>
    <col min="45" max="45" width="5.44140625" bestFit="1" customWidth="1"/>
    <col min="46" max="46" width="6" bestFit="1" customWidth="1"/>
    <col min="47" max="47" width="5.44140625" bestFit="1" customWidth="1"/>
    <col min="48" max="48" width="6" bestFit="1" customWidth="1"/>
    <col min="49" max="49" width="5.44140625" bestFit="1" customWidth="1"/>
    <col min="50" max="50" width="6" bestFit="1" customWidth="1"/>
    <col min="51" max="51" width="5.44140625" bestFit="1" customWidth="1"/>
    <col min="52" max="52" width="6" bestFit="1" customWidth="1"/>
    <col min="53" max="53" width="5.44140625" bestFit="1" customWidth="1"/>
    <col min="54" max="54" width="6" bestFit="1" customWidth="1"/>
    <col min="55" max="55" width="5.44140625" bestFit="1" customWidth="1"/>
    <col min="56" max="56" width="6" bestFit="1" customWidth="1"/>
    <col min="57" max="57" width="5.44140625" bestFit="1" customWidth="1"/>
    <col min="58" max="58" width="6" bestFit="1" customWidth="1"/>
    <col min="59" max="59" width="5.44140625" bestFit="1" customWidth="1"/>
    <col min="60" max="60" width="6" bestFit="1" customWidth="1"/>
    <col min="61" max="61" width="5.44140625" bestFit="1" customWidth="1"/>
    <col min="62" max="62" width="6" bestFit="1" customWidth="1"/>
    <col min="63" max="63" width="5.44140625" bestFit="1" customWidth="1"/>
    <col min="64" max="64" width="6" bestFit="1" customWidth="1"/>
    <col min="65" max="65" width="5.44140625" bestFit="1" customWidth="1"/>
    <col min="66" max="66" width="6" bestFit="1" customWidth="1"/>
    <col min="67" max="67" width="5.44140625" bestFit="1" customWidth="1"/>
    <col min="68" max="68" width="6" bestFit="1" customWidth="1"/>
    <col min="69" max="69" width="5.44140625" bestFit="1" customWidth="1"/>
    <col min="70" max="70" width="6" bestFit="1" customWidth="1"/>
    <col min="71" max="71" width="5.44140625" bestFit="1" customWidth="1"/>
    <col min="72" max="72" width="6" bestFit="1" customWidth="1"/>
    <col min="73" max="73" width="5.44140625" bestFit="1" customWidth="1"/>
    <col min="74" max="74" width="6" bestFit="1" customWidth="1"/>
    <col min="75" max="75" width="5.44140625" bestFit="1" customWidth="1"/>
    <col min="76" max="76" width="6" bestFit="1" customWidth="1"/>
    <col min="77" max="77" width="5.44140625" bestFit="1" customWidth="1"/>
    <col min="78" max="78" width="6" bestFit="1" customWidth="1"/>
    <col min="79" max="79" width="5.44140625" bestFit="1" customWidth="1"/>
    <col min="80" max="80" width="6" bestFit="1" customWidth="1"/>
    <col min="81" max="81" width="5.44140625" bestFit="1" customWidth="1"/>
    <col min="82" max="82" width="6" bestFit="1" customWidth="1"/>
    <col min="83" max="83" width="5.44140625" bestFit="1" customWidth="1"/>
    <col min="84" max="84" width="6" bestFit="1" customWidth="1"/>
    <col min="85" max="85" width="5.44140625" bestFit="1" customWidth="1"/>
    <col min="86" max="86" width="6" bestFit="1" customWidth="1"/>
    <col min="87" max="87" width="5.44140625" bestFit="1" customWidth="1"/>
    <col min="88" max="88" width="6" bestFit="1" customWidth="1"/>
    <col min="89" max="89" width="5.44140625" bestFit="1" customWidth="1"/>
    <col min="90" max="90" width="6" bestFit="1" customWidth="1"/>
    <col min="91" max="91" width="5.44140625" bestFit="1" customWidth="1"/>
    <col min="92" max="92" width="6" bestFit="1" customWidth="1"/>
    <col min="93" max="93" width="5.44140625" bestFit="1" customWidth="1"/>
    <col min="94" max="94" width="6" bestFit="1" customWidth="1"/>
    <col min="95" max="95" width="5.44140625" bestFit="1" customWidth="1"/>
    <col min="96" max="96" width="6" bestFit="1" customWidth="1"/>
    <col min="97" max="97" width="5.44140625" bestFit="1" customWidth="1"/>
    <col min="98" max="98" width="6" bestFit="1" customWidth="1"/>
    <col min="99" max="99" width="5.44140625" bestFit="1" customWidth="1"/>
    <col min="100" max="100" width="6" bestFit="1" customWidth="1"/>
    <col min="101" max="101" width="5.44140625" bestFit="1" customWidth="1"/>
    <col min="102" max="102" width="6" bestFit="1" customWidth="1"/>
    <col min="103" max="103" width="5.44140625" bestFit="1" customWidth="1"/>
    <col min="104" max="104" width="6" bestFit="1" customWidth="1"/>
    <col min="105" max="105" width="5.44140625" bestFit="1" customWidth="1"/>
    <col min="106" max="106" width="6" bestFit="1" customWidth="1"/>
    <col min="107" max="107" width="5.44140625" bestFit="1" customWidth="1"/>
    <col min="108" max="108" width="6" bestFit="1" customWidth="1"/>
    <col min="109" max="109" width="5.44140625" bestFit="1" customWidth="1"/>
    <col min="110" max="110" width="6" bestFit="1" customWidth="1"/>
    <col min="111" max="111" width="5.44140625" bestFit="1" customWidth="1"/>
    <col min="112" max="112" width="6" bestFit="1" customWidth="1"/>
    <col min="113" max="113" width="7.5546875" bestFit="1" customWidth="1"/>
    <col min="114" max="114" width="6" bestFit="1" customWidth="1"/>
    <col min="115" max="115" width="7.5546875" bestFit="1" customWidth="1"/>
    <col min="116" max="116" width="6" bestFit="1" customWidth="1"/>
  </cols>
  <sheetData>
    <row r="1" spans="1:116" x14ac:dyDescent="0.3">
      <c r="A1" s="33" t="s">
        <v>418</v>
      </c>
      <c r="B1" s="34" t="s">
        <v>7</v>
      </c>
      <c r="C1" s="47"/>
      <c r="D1" s="47"/>
      <c r="E1" s="47"/>
      <c r="F1" s="47"/>
      <c r="G1" s="47"/>
      <c r="H1" s="48"/>
      <c r="I1" s="49"/>
      <c r="J1" s="49"/>
      <c r="K1" s="49"/>
      <c r="L1" s="50"/>
      <c r="M1" s="50"/>
      <c r="N1" s="34"/>
      <c r="O1" s="106" t="s">
        <v>427</v>
      </c>
      <c r="P1" s="108"/>
      <c r="Q1" s="106" t="s">
        <v>428</v>
      </c>
      <c r="R1" s="108"/>
      <c r="S1" s="106" t="s">
        <v>429</v>
      </c>
      <c r="T1" s="116"/>
      <c r="U1" s="106" t="s">
        <v>430</v>
      </c>
      <c r="V1" s="108"/>
      <c r="W1" s="106" t="s">
        <v>431</v>
      </c>
      <c r="X1" s="116"/>
      <c r="Y1" s="106" t="s">
        <v>432</v>
      </c>
      <c r="Z1" s="108"/>
      <c r="AA1" s="106" t="s">
        <v>433</v>
      </c>
      <c r="AB1" s="116"/>
      <c r="AC1" s="106" t="s">
        <v>434</v>
      </c>
      <c r="AD1" s="108"/>
      <c r="AE1" s="106" t="s">
        <v>435</v>
      </c>
      <c r="AF1" s="116"/>
      <c r="AG1" s="106" t="s">
        <v>436</v>
      </c>
      <c r="AH1" s="108"/>
      <c r="AI1" s="106" t="s">
        <v>437</v>
      </c>
      <c r="AJ1" s="116"/>
      <c r="AK1" s="106" t="s">
        <v>438</v>
      </c>
      <c r="AL1" s="108"/>
      <c r="AM1" s="106" t="s">
        <v>439</v>
      </c>
      <c r="AN1" s="116"/>
      <c r="AO1" s="106" t="s">
        <v>440</v>
      </c>
      <c r="AP1" s="108"/>
      <c r="AQ1" s="106" t="s">
        <v>441</v>
      </c>
      <c r="AR1" s="116"/>
      <c r="AS1" s="106" t="s">
        <v>442</v>
      </c>
      <c r="AT1" s="108"/>
      <c r="AU1" s="106" t="s">
        <v>443</v>
      </c>
      <c r="AV1" s="116"/>
      <c r="AW1" s="106" t="s">
        <v>444</v>
      </c>
      <c r="AX1" s="108"/>
      <c r="AY1" s="106" t="s">
        <v>445</v>
      </c>
      <c r="AZ1" s="116"/>
      <c r="BA1" s="106" t="s">
        <v>446</v>
      </c>
      <c r="BB1" s="108"/>
      <c r="BC1" s="106" t="s">
        <v>447</v>
      </c>
      <c r="BD1" s="116"/>
      <c r="BE1" s="106" t="s">
        <v>448</v>
      </c>
      <c r="BF1" s="108"/>
      <c r="BG1" s="106" t="s">
        <v>449</v>
      </c>
      <c r="BH1" s="116"/>
      <c r="BI1" s="106" t="s">
        <v>450</v>
      </c>
      <c r="BJ1" s="108"/>
      <c r="BK1" s="106" t="s">
        <v>451</v>
      </c>
      <c r="BL1" s="116"/>
      <c r="BM1" s="106" t="s">
        <v>452</v>
      </c>
      <c r="BN1" s="108"/>
      <c r="BO1" s="106" t="s">
        <v>453</v>
      </c>
      <c r="BP1" s="116"/>
      <c r="BQ1" s="106" t="s">
        <v>454</v>
      </c>
      <c r="BR1" s="108"/>
      <c r="BS1" s="106" t="s">
        <v>455</v>
      </c>
      <c r="BT1" s="116"/>
      <c r="BU1" s="106" t="s">
        <v>456</v>
      </c>
      <c r="BV1" s="108"/>
      <c r="BW1" s="106" t="s">
        <v>457</v>
      </c>
      <c r="BX1" s="116"/>
      <c r="BY1" s="106" t="s">
        <v>458</v>
      </c>
      <c r="BZ1" s="108"/>
      <c r="CA1" s="106" t="s">
        <v>459</v>
      </c>
      <c r="CB1" s="116"/>
      <c r="CC1" s="106" t="s">
        <v>460</v>
      </c>
      <c r="CD1" s="108"/>
      <c r="CE1" s="106" t="s">
        <v>461</v>
      </c>
      <c r="CF1" s="116"/>
      <c r="CG1" s="106" t="s">
        <v>462</v>
      </c>
      <c r="CH1" s="108"/>
      <c r="CI1" s="106" t="s">
        <v>463</v>
      </c>
      <c r="CJ1" s="116"/>
      <c r="CK1" s="106" t="s">
        <v>464</v>
      </c>
      <c r="CL1" s="108"/>
      <c r="CM1" s="106" t="s">
        <v>465</v>
      </c>
      <c r="CN1" s="116"/>
      <c r="CO1" s="106" t="s">
        <v>466</v>
      </c>
      <c r="CP1" s="108"/>
      <c r="CQ1" s="106" t="s">
        <v>467</v>
      </c>
      <c r="CR1" s="116"/>
      <c r="CS1" s="106" t="s">
        <v>468</v>
      </c>
      <c r="CT1" s="108"/>
      <c r="CU1" s="106" t="s">
        <v>469</v>
      </c>
      <c r="CV1" s="116"/>
      <c r="CW1" s="106" t="s">
        <v>470</v>
      </c>
      <c r="CX1" s="108"/>
      <c r="CY1" s="106" t="s">
        <v>471</v>
      </c>
      <c r="CZ1" s="116"/>
      <c r="DA1" s="106" t="s">
        <v>472</v>
      </c>
      <c r="DB1" s="108"/>
      <c r="DC1" s="106" t="s">
        <v>473</v>
      </c>
      <c r="DD1" s="116"/>
      <c r="DE1" s="106" t="s">
        <v>474</v>
      </c>
      <c r="DF1" s="108"/>
      <c r="DG1" s="106" t="s">
        <v>475</v>
      </c>
      <c r="DH1" s="116"/>
      <c r="DI1" s="106" t="s">
        <v>476</v>
      </c>
      <c r="DJ1" s="108"/>
      <c r="DK1" s="106" t="s">
        <v>477</v>
      </c>
      <c r="DL1" s="108"/>
    </row>
    <row r="2" spans="1:116" ht="15" thickBot="1" x14ac:dyDescent="0.35">
      <c r="A2" s="35"/>
      <c r="B2" s="36"/>
      <c r="C2" s="46"/>
      <c r="D2" s="46"/>
      <c r="E2" s="46"/>
      <c r="F2" s="46"/>
      <c r="G2" s="46"/>
      <c r="H2" s="37"/>
      <c r="I2" s="5"/>
      <c r="J2" s="5"/>
      <c r="K2" s="41"/>
      <c r="L2" s="11"/>
      <c r="M2" s="11"/>
      <c r="N2" s="7"/>
      <c r="O2" s="115">
        <v>45967</v>
      </c>
      <c r="P2" s="111"/>
      <c r="Q2" s="119">
        <f>WORKDAY.INTL(O2,1,"0000001")</f>
        <v>45968</v>
      </c>
      <c r="R2" s="120"/>
      <c r="S2" s="119">
        <f t="shared" ref="S2" si="0">WORKDAY.INTL(Q2,1,"0000001")</f>
        <v>45969</v>
      </c>
      <c r="T2" s="120"/>
      <c r="U2" s="119">
        <f t="shared" ref="U2" si="1">WORKDAY.INTL(S2,1,"0000001")</f>
        <v>45971</v>
      </c>
      <c r="V2" s="120"/>
      <c r="W2" s="119">
        <f t="shared" ref="W2" si="2">WORKDAY.INTL(U2,1,"0000001")</f>
        <v>45972</v>
      </c>
      <c r="X2" s="120"/>
      <c r="Y2" s="119">
        <f t="shared" ref="Y2" si="3">WORKDAY.INTL(W2,1,"0000001")</f>
        <v>45973</v>
      </c>
      <c r="Z2" s="120"/>
      <c r="AA2" s="119">
        <f t="shared" ref="AA2" si="4">WORKDAY.INTL(Y2,1,"0000001")</f>
        <v>45974</v>
      </c>
      <c r="AB2" s="120"/>
      <c r="AC2" s="119">
        <f t="shared" ref="AC2" si="5">WORKDAY.INTL(AA2,1,"0000001")</f>
        <v>45975</v>
      </c>
      <c r="AD2" s="120"/>
      <c r="AE2" s="119">
        <f t="shared" ref="AE2" si="6">WORKDAY.INTL(AC2,1,"0000001")</f>
        <v>45976</v>
      </c>
      <c r="AF2" s="120"/>
      <c r="AG2" s="119">
        <f t="shared" ref="AG2" si="7">WORKDAY.INTL(AE2,1,"0000001")</f>
        <v>45978</v>
      </c>
      <c r="AH2" s="120"/>
      <c r="AI2" s="119">
        <f t="shared" ref="AI2" si="8">WORKDAY.INTL(AG2,1,"0000001")</f>
        <v>45979</v>
      </c>
      <c r="AJ2" s="120"/>
      <c r="AK2" s="119">
        <f t="shared" ref="AK2" si="9">WORKDAY.INTL(AI2,1,"0000001")</f>
        <v>45980</v>
      </c>
      <c r="AL2" s="120"/>
      <c r="AM2" s="119">
        <f t="shared" ref="AM2" si="10">WORKDAY.INTL(AK2,1,"0000001")</f>
        <v>45981</v>
      </c>
      <c r="AN2" s="120"/>
      <c r="AO2" s="119">
        <f t="shared" ref="AO2" si="11">WORKDAY.INTL(AM2,1,"0000001")</f>
        <v>45982</v>
      </c>
      <c r="AP2" s="120"/>
      <c r="AQ2" s="119">
        <f t="shared" ref="AQ2" si="12">WORKDAY.INTL(AO2,1,"0000001")</f>
        <v>45983</v>
      </c>
      <c r="AR2" s="120"/>
      <c r="AS2" s="119">
        <f t="shared" ref="AS2" si="13">WORKDAY.INTL(AQ2,1,"0000001")</f>
        <v>45985</v>
      </c>
      <c r="AT2" s="120"/>
      <c r="AU2" s="119">
        <f t="shared" ref="AU2" si="14">WORKDAY.INTL(AS2,1,"0000001")</f>
        <v>45986</v>
      </c>
      <c r="AV2" s="120"/>
      <c r="AW2" s="119">
        <f t="shared" ref="AW2" si="15">WORKDAY.INTL(AU2,1,"0000001")</f>
        <v>45987</v>
      </c>
      <c r="AX2" s="120"/>
      <c r="AY2" s="119">
        <f t="shared" ref="AY2" si="16">WORKDAY.INTL(AW2,1,"0000001")</f>
        <v>45988</v>
      </c>
      <c r="AZ2" s="120"/>
      <c r="BA2" s="119">
        <f t="shared" ref="BA2" si="17">WORKDAY.INTL(AY2,1,"0000001")</f>
        <v>45989</v>
      </c>
      <c r="BB2" s="120"/>
      <c r="BC2" s="119">
        <f t="shared" ref="BC2" si="18">WORKDAY.INTL(BA2,1,"0000001")</f>
        <v>45990</v>
      </c>
      <c r="BD2" s="120"/>
      <c r="BE2" s="119">
        <f t="shared" ref="BE2" si="19">WORKDAY.INTL(BC2,1,"0000001")</f>
        <v>45992</v>
      </c>
      <c r="BF2" s="120"/>
      <c r="BG2" s="119">
        <f t="shared" ref="BG2" si="20">WORKDAY.INTL(BE2,1,"0000001")</f>
        <v>45993</v>
      </c>
      <c r="BH2" s="120"/>
      <c r="BI2" s="119">
        <f t="shared" ref="BI2" si="21">WORKDAY.INTL(BG2,1,"0000001")</f>
        <v>45994</v>
      </c>
      <c r="BJ2" s="120"/>
      <c r="BK2" s="119">
        <f t="shared" ref="BK2" si="22">WORKDAY.INTL(BI2,1,"0000001")</f>
        <v>45995</v>
      </c>
      <c r="BL2" s="120"/>
      <c r="BM2" s="119">
        <f t="shared" ref="BM2" si="23">WORKDAY.INTL(BK2,1,"0000001")</f>
        <v>45996</v>
      </c>
      <c r="BN2" s="120"/>
      <c r="BO2" s="119">
        <f t="shared" ref="BO2" si="24">WORKDAY.INTL(BM2,1,"0000001")</f>
        <v>45997</v>
      </c>
      <c r="BP2" s="120"/>
      <c r="BQ2" s="119">
        <f t="shared" ref="BQ2" si="25">WORKDAY.INTL(BO2,1,"0000001")</f>
        <v>45999</v>
      </c>
      <c r="BR2" s="120"/>
      <c r="BS2" s="119">
        <f t="shared" ref="BS2" si="26">WORKDAY.INTL(BQ2,1,"0000001")</f>
        <v>46000</v>
      </c>
      <c r="BT2" s="120"/>
      <c r="BU2" s="119">
        <f t="shared" ref="BU2" si="27">WORKDAY.INTL(BS2,1,"0000001")</f>
        <v>46001</v>
      </c>
      <c r="BV2" s="120"/>
      <c r="BW2" s="119">
        <f t="shared" ref="BW2" si="28">WORKDAY.INTL(BU2,1,"0000001")</f>
        <v>46002</v>
      </c>
      <c r="BX2" s="120"/>
      <c r="BY2" s="119">
        <f t="shared" ref="BY2" si="29">WORKDAY.INTL(BW2,1,"0000001")</f>
        <v>46003</v>
      </c>
      <c r="BZ2" s="120"/>
      <c r="CA2" s="119">
        <f t="shared" ref="CA2" si="30">WORKDAY.INTL(BY2,1,"0000001")</f>
        <v>46004</v>
      </c>
      <c r="CB2" s="120"/>
      <c r="CC2" s="119">
        <f t="shared" ref="CC2" si="31">WORKDAY.INTL(CA2,1,"0000001")</f>
        <v>46006</v>
      </c>
      <c r="CD2" s="120"/>
      <c r="CE2" s="119">
        <f t="shared" ref="CE2" si="32">WORKDAY.INTL(CC2,1,"0000001")</f>
        <v>46007</v>
      </c>
      <c r="CF2" s="120"/>
      <c r="CG2" s="119">
        <f t="shared" ref="CG2" si="33">WORKDAY.INTL(CE2,1,"0000001")</f>
        <v>46008</v>
      </c>
      <c r="CH2" s="120"/>
      <c r="CI2" s="119">
        <f t="shared" ref="CI2" si="34">WORKDAY.INTL(CG2,1,"0000001")</f>
        <v>46009</v>
      </c>
      <c r="CJ2" s="120"/>
      <c r="CK2" s="119">
        <f t="shared" ref="CK2" si="35">WORKDAY.INTL(CI2,1,"0000001")</f>
        <v>46010</v>
      </c>
      <c r="CL2" s="120"/>
      <c r="CM2" s="119">
        <f t="shared" ref="CM2" si="36">WORKDAY.INTL(CK2,1,"0000001")</f>
        <v>46011</v>
      </c>
      <c r="CN2" s="120"/>
      <c r="CO2" s="119">
        <f t="shared" ref="CO2" si="37">WORKDAY.INTL(CM2,1,"0000001")</f>
        <v>46013</v>
      </c>
      <c r="CP2" s="120"/>
      <c r="CQ2" s="119">
        <f t="shared" ref="CQ2" si="38">WORKDAY.INTL(CO2,1,"0000001")</f>
        <v>46014</v>
      </c>
      <c r="CR2" s="120"/>
      <c r="CS2" s="119">
        <f t="shared" ref="CS2" si="39">WORKDAY.INTL(CQ2,1,"0000001")</f>
        <v>46015</v>
      </c>
      <c r="CT2" s="120"/>
      <c r="CU2" s="119">
        <f t="shared" ref="CU2" si="40">WORKDAY.INTL(CS2,1,"0000001")</f>
        <v>46016</v>
      </c>
      <c r="CV2" s="120"/>
      <c r="CW2" s="119">
        <f t="shared" ref="CW2" si="41">WORKDAY.INTL(CU2,1,"0000001")</f>
        <v>46017</v>
      </c>
      <c r="CX2" s="120"/>
      <c r="CY2" s="119">
        <f t="shared" ref="CY2" si="42">WORKDAY.INTL(CW2,1,"0000001")</f>
        <v>46018</v>
      </c>
      <c r="CZ2" s="120"/>
      <c r="DA2" s="119">
        <f t="shared" ref="DA2" si="43">WORKDAY.INTL(CY2,1,"0000001")</f>
        <v>46020</v>
      </c>
      <c r="DB2" s="120"/>
      <c r="DC2" s="119">
        <f t="shared" ref="DC2" si="44">WORKDAY.INTL(DA2,1,"0000001")</f>
        <v>46021</v>
      </c>
      <c r="DD2" s="120"/>
      <c r="DE2" s="119">
        <f t="shared" ref="DE2" si="45">WORKDAY.INTL(DC2,1,"0000001")</f>
        <v>46022</v>
      </c>
      <c r="DF2" s="120"/>
      <c r="DG2" s="119">
        <f t="shared" ref="DG2" si="46">WORKDAY.INTL(DE2,1,"0000001")</f>
        <v>46023</v>
      </c>
      <c r="DH2" s="120"/>
      <c r="DI2" s="119">
        <f t="shared" ref="DI2" si="47">WORKDAY.INTL(DG2,1,"0000001")</f>
        <v>46024</v>
      </c>
      <c r="DJ2" s="120"/>
      <c r="DK2" s="119">
        <f t="shared" ref="DK2" si="48">WORKDAY.INTL(DI2,1,"0000001")</f>
        <v>46025</v>
      </c>
      <c r="DL2" s="120"/>
    </row>
    <row r="3" spans="1:116" ht="72" x14ac:dyDescent="0.3">
      <c r="A3" s="38" t="s">
        <v>505</v>
      </c>
      <c r="B3" s="39" t="s">
        <v>3</v>
      </c>
      <c r="C3" s="49" t="s">
        <v>180</v>
      </c>
      <c r="D3" s="49" t="s">
        <v>503</v>
      </c>
      <c r="E3" s="49" t="s">
        <v>179</v>
      </c>
      <c r="F3" s="49" t="s">
        <v>504</v>
      </c>
      <c r="G3" s="49" t="s">
        <v>119</v>
      </c>
      <c r="H3" s="40" t="s">
        <v>419</v>
      </c>
      <c r="I3" s="51" t="s">
        <v>420</v>
      </c>
      <c r="J3" s="52" t="s">
        <v>421</v>
      </c>
      <c r="K3" s="38" t="s">
        <v>423</v>
      </c>
      <c r="L3" s="39" t="s">
        <v>540</v>
      </c>
      <c r="M3" s="40" t="s">
        <v>508</v>
      </c>
      <c r="N3" s="53" t="s">
        <v>424</v>
      </c>
      <c r="O3" s="30" t="s">
        <v>425</v>
      </c>
      <c r="P3" s="31" t="s">
        <v>426</v>
      </c>
      <c r="Q3" s="30" t="s">
        <v>425</v>
      </c>
      <c r="R3" s="31" t="s">
        <v>426</v>
      </c>
      <c r="S3" s="30" t="s">
        <v>425</v>
      </c>
      <c r="T3" s="31" t="s">
        <v>426</v>
      </c>
      <c r="U3" s="30" t="s">
        <v>425</v>
      </c>
      <c r="V3" s="31" t="s">
        <v>426</v>
      </c>
      <c r="W3" s="30" t="s">
        <v>425</v>
      </c>
      <c r="X3" s="31" t="s">
        <v>426</v>
      </c>
      <c r="Y3" s="30" t="s">
        <v>425</v>
      </c>
      <c r="Z3" s="31" t="s">
        <v>426</v>
      </c>
      <c r="AA3" s="30" t="s">
        <v>425</v>
      </c>
      <c r="AB3" s="31" t="s">
        <v>426</v>
      </c>
      <c r="AC3" s="30" t="s">
        <v>425</v>
      </c>
      <c r="AD3" s="31" t="s">
        <v>426</v>
      </c>
      <c r="AE3" s="30" t="s">
        <v>425</v>
      </c>
      <c r="AF3" s="31" t="s">
        <v>426</v>
      </c>
      <c r="AG3" s="30" t="s">
        <v>425</v>
      </c>
      <c r="AH3" s="31" t="s">
        <v>426</v>
      </c>
      <c r="AI3" s="30" t="s">
        <v>425</v>
      </c>
      <c r="AJ3" s="31" t="s">
        <v>426</v>
      </c>
      <c r="AK3" s="30" t="s">
        <v>425</v>
      </c>
      <c r="AL3" s="31" t="s">
        <v>426</v>
      </c>
      <c r="AM3" s="30" t="s">
        <v>425</v>
      </c>
      <c r="AN3" s="31" t="s">
        <v>426</v>
      </c>
      <c r="AO3" s="30" t="s">
        <v>425</v>
      </c>
      <c r="AP3" s="31" t="s">
        <v>426</v>
      </c>
      <c r="AQ3" s="30" t="s">
        <v>425</v>
      </c>
      <c r="AR3" s="31" t="s">
        <v>426</v>
      </c>
      <c r="AS3" s="30" t="s">
        <v>425</v>
      </c>
      <c r="AT3" s="31" t="s">
        <v>426</v>
      </c>
      <c r="AU3" s="30" t="s">
        <v>425</v>
      </c>
      <c r="AV3" s="31" t="s">
        <v>426</v>
      </c>
      <c r="AW3" s="30" t="s">
        <v>425</v>
      </c>
      <c r="AX3" s="31" t="s">
        <v>426</v>
      </c>
      <c r="AY3" s="30" t="s">
        <v>425</v>
      </c>
      <c r="AZ3" s="31" t="s">
        <v>426</v>
      </c>
      <c r="BA3" s="30" t="s">
        <v>425</v>
      </c>
      <c r="BB3" s="31" t="s">
        <v>426</v>
      </c>
      <c r="BC3" s="30" t="s">
        <v>425</v>
      </c>
      <c r="BD3" s="31" t="s">
        <v>426</v>
      </c>
      <c r="BE3" s="30" t="s">
        <v>425</v>
      </c>
      <c r="BF3" s="31" t="s">
        <v>426</v>
      </c>
      <c r="BG3" s="30" t="s">
        <v>425</v>
      </c>
      <c r="BH3" s="31" t="s">
        <v>426</v>
      </c>
      <c r="BI3" s="30" t="s">
        <v>425</v>
      </c>
      <c r="BJ3" s="31" t="s">
        <v>426</v>
      </c>
      <c r="BK3" s="30" t="s">
        <v>425</v>
      </c>
      <c r="BL3" s="31" t="s">
        <v>426</v>
      </c>
      <c r="BM3" s="30" t="s">
        <v>425</v>
      </c>
      <c r="BN3" s="31" t="s">
        <v>426</v>
      </c>
      <c r="BO3" s="30" t="s">
        <v>425</v>
      </c>
      <c r="BP3" s="31" t="s">
        <v>426</v>
      </c>
      <c r="BQ3" s="30" t="s">
        <v>425</v>
      </c>
      <c r="BR3" s="31" t="s">
        <v>426</v>
      </c>
      <c r="BS3" s="30" t="s">
        <v>425</v>
      </c>
      <c r="BT3" s="31" t="s">
        <v>426</v>
      </c>
      <c r="BU3" s="30" t="s">
        <v>425</v>
      </c>
      <c r="BV3" s="31" t="s">
        <v>426</v>
      </c>
      <c r="BW3" s="30" t="s">
        <v>425</v>
      </c>
      <c r="BX3" s="31" t="s">
        <v>426</v>
      </c>
      <c r="BY3" s="30" t="s">
        <v>425</v>
      </c>
      <c r="BZ3" s="31" t="s">
        <v>426</v>
      </c>
      <c r="CA3" s="30" t="s">
        <v>425</v>
      </c>
      <c r="CB3" s="31" t="s">
        <v>426</v>
      </c>
      <c r="CC3" s="30" t="s">
        <v>425</v>
      </c>
      <c r="CD3" s="31" t="s">
        <v>426</v>
      </c>
      <c r="CE3" s="30" t="s">
        <v>425</v>
      </c>
      <c r="CF3" s="31" t="s">
        <v>426</v>
      </c>
      <c r="CG3" s="30" t="s">
        <v>425</v>
      </c>
      <c r="CH3" s="31" t="s">
        <v>426</v>
      </c>
      <c r="CI3" s="30" t="s">
        <v>425</v>
      </c>
      <c r="CJ3" s="31" t="s">
        <v>426</v>
      </c>
      <c r="CK3" s="30" t="s">
        <v>425</v>
      </c>
      <c r="CL3" s="31" t="s">
        <v>426</v>
      </c>
      <c r="CM3" s="30" t="s">
        <v>425</v>
      </c>
      <c r="CN3" s="31" t="s">
        <v>426</v>
      </c>
      <c r="CO3" s="30" t="s">
        <v>425</v>
      </c>
      <c r="CP3" s="31" t="s">
        <v>426</v>
      </c>
      <c r="CQ3" s="30" t="s">
        <v>425</v>
      </c>
      <c r="CR3" s="31" t="s">
        <v>426</v>
      </c>
      <c r="CS3" s="30" t="s">
        <v>425</v>
      </c>
      <c r="CT3" s="31" t="s">
        <v>426</v>
      </c>
      <c r="CU3" s="30" t="s">
        <v>425</v>
      </c>
      <c r="CV3" s="31" t="s">
        <v>426</v>
      </c>
      <c r="CW3" s="30" t="s">
        <v>425</v>
      </c>
      <c r="CX3" s="31" t="s">
        <v>426</v>
      </c>
      <c r="CY3" s="30" t="s">
        <v>425</v>
      </c>
      <c r="CZ3" s="31" t="s">
        <v>426</v>
      </c>
      <c r="DA3" s="30" t="s">
        <v>425</v>
      </c>
      <c r="DB3" s="31" t="s">
        <v>426</v>
      </c>
      <c r="DC3" s="30" t="s">
        <v>425</v>
      </c>
      <c r="DD3" s="31" t="s">
        <v>426</v>
      </c>
      <c r="DE3" s="30" t="s">
        <v>425</v>
      </c>
      <c r="DF3" s="31" t="s">
        <v>426</v>
      </c>
      <c r="DG3" s="30" t="s">
        <v>425</v>
      </c>
      <c r="DH3" s="31" t="s">
        <v>426</v>
      </c>
      <c r="DI3" s="30" t="s">
        <v>425</v>
      </c>
      <c r="DJ3" s="31" t="s">
        <v>426</v>
      </c>
      <c r="DK3" s="30" t="s">
        <v>425</v>
      </c>
      <c r="DL3" s="31" t="s">
        <v>426</v>
      </c>
    </row>
    <row r="4" spans="1:116" x14ac:dyDescent="0.3">
      <c r="A4" s="2" t="s">
        <v>58</v>
      </c>
      <c r="B4" s="3" t="s">
        <v>59</v>
      </c>
      <c r="C4" s="3" t="s">
        <v>170</v>
      </c>
      <c r="D4" s="3" t="s">
        <v>111</v>
      </c>
      <c r="E4" s="3" t="s">
        <v>170</v>
      </c>
      <c r="F4" s="3" t="s">
        <v>111</v>
      </c>
      <c r="G4" s="3"/>
      <c r="H4" s="6">
        <f>SUMIF('Sunglasses BOM'!C2:C79,A4,'Sunglasses BOM'!E2:E79)</f>
        <v>117600</v>
      </c>
      <c r="I4" s="32" cm="1">
        <f t="array" ref="I4">SUMPRODUCT((MOD(COLUMN($P4:$FU4)-COLUMN($P4),2)=0)*($P4:$FU4))</f>
        <v>0</v>
      </c>
      <c r="J4" s="9">
        <f>H4-I4</f>
        <v>117600</v>
      </c>
      <c r="K4" s="42">
        <f>'Final Processes daily output'!$F$21</f>
        <v>31680</v>
      </c>
      <c r="L4" s="22">
        <f>_xlfn.XLOOKUP(A4,'Screwing PP DPR'!$A$4:$A$27,'Screwing PP DPR'!$I$4:$I$27)</f>
        <v>0</v>
      </c>
      <c r="M4" s="23">
        <f>L4-I4</f>
        <v>0</v>
      </c>
      <c r="N4" s="54">
        <f>J4/K4</f>
        <v>3.7121212121212119</v>
      </c>
      <c r="O4" s="2"/>
      <c r="P4" s="6"/>
      <c r="Q4" s="2"/>
      <c r="R4" s="6"/>
      <c r="S4" s="2"/>
      <c r="T4" s="6"/>
      <c r="U4" s="2"/>
      <c r="V4" s="6"/>
      <c r="W4" s="2"/>
      <c r="X4" s="6"/>
      <c r="Y4" s="2"/>
      <c r="Z4" s="6"/>
      <c r="AA4" s="2"/>
      <c r="AB4" s="6"/>
      <c r="AC4" s="2"/>
      <c r="AD4" s="6"/>
      <c r="AE4" s="2"/>
      <c r="AF4" s="6"/>
      <c r="AG4" s="2"/>
      <c r="AH4" s="6"/>
      <c r="AI4" s="2"/>
      <c r="AJ4" s="6"/>
      <c r="AK4" s="2"/>
      <c r="AL4" s="6"/>
      <c r="AM4" s="2"/>
      <c r="AN4" s="6"/>
      <c r="AO4" s="2"/>
      <c r="AP4" s="6"/>
      <c r="AQ4" s="2"/>
      <c r="AR4" s="6"/>
      <c r="AS4" s="2"/>
      <c r="AT4" s="6"/>
      <c r="AU4" s="2"/>
      <c r="AV4" s="6"/>
      <c r="AW4" s="2"/>
      <c r="AX4" s="6"/>
      <c r="AY4" s="2"/>
      <c r="AZ4" s="6"/>
      <c r="BA4" s="2"/>
      <c r="BB4" s="6"/>
      <c r="BC4" s="2"/>
      <c r="BD4" s="6"/>
      <c r="BE4" s="2"/>
      <c r="BF4" s="6"/>
      <c r="BG4" s="2"/>
      <c r="BH4" s="6"/>
      <c r="BI4" s="2"/>
      <c r="BJ4" s="6"/>
      <c r="BK4" s="2"/>
      <c r="BL4" s="6"/>
      <c r="BM4" s="2"/>
      <c r="BN4" s="6"/>
      <c r="BO4" s="2"/>
      <c r="BP4" s="6"/>
      <c r="BQ4" s="2"/>
      <c r="BR4" s="6"/>
      <c r="BS4" s="2"/>
      <c r="BT4" s="6"/>
      <c r="BU4" s="2"/>
      <c r="BV4" s="6"/>
      <c r="BW4" s="2"/>
      <c r="BX4" s="6"/>
      <c r="BY4" s="2"/>
      <c r="BZ4" s="6"/>
      <c r="CA4" s="2"/>
      <c r="CB4" s="6"/>
      <c r="CC4" s="2"/>
      <c r="CD4" s="6"/>
      <c r="CE4" s="2"/>
      <c r="CF4" s="6"/>
      <c r="CG4" s="2"/>
      <c r="CH4" s="6"/>
      <c r="CI4" s="2"/>
      <c r="CJ4" s="6"/>
      <c r="CK4" s="2"/>
      <c r="CL4" s="6"/>
      <c r="CM4" s="2"/>
      <c r="CN4" s="6"/>
      <c r="CO4" s="2"/>
      <c r="CP4" s="6"/>
      <c r="CQ4" s="2"/>
      <c r="CR4" s="6"/>
      <c r="CS4" s="2"/>
      <c r="CT4" s="6"/>
      <c r="CU4" s="2"/>
      <c r="CV4" s="6"/>
      <c r="CW4" s="2"/>
      <c r="CX4" s="6"/>
      <c r="CY4" s="2"/>
      <c r="CZ4" s="6"/>
      <c r="DA4" s="2"/>
      <c r="DB4" s="6"/>
      <c r="DC4" s="2"/>
      <c r="DD4" s="6"/>
      <c r="DE4" s="2"/>
      <c r="DF4" s="6"/>
      <c r="DG4" s="2"/>
      <c r="DH4" s="6"/>
      <c r="DI4" s="2"/>
      <c r="DJ4" s="6"/>
      <c r="DK4" s="2"/>
      <c r="DL4" s="6"/>
    </row>
    <row r="5" spans="1:116" x14ac:dyDescent="0.3">
      <c r="A5" s="2" t="s">
        <v>60</v>
      </c>
      <c r="B5" s="3" t="s">
        <v>61</v>
      </c>
      <c r="C5" s="3" t="s">
        <v>171</v>
      </c>
      <c r="D5" s="3" t="s">
        <v>112</v>
      </c>
      <c r="E5" s="3" t="s">
        <v>171</v>
      </c>
      <c r="F5" s="3" t="s">
        <v>112</v>
      </c>
      <c r="G5" s="3" t="s">
        <v>119</v>
      </c>
      <c r="H5" s="6">
        <f>SUMIF('Sunglasses BOM'!C3:C80,A5,'Sunglasses BOM'!E3:E80)</f>
        <v>58800</v>
      </c>
      <c r="I5" s="32" cm="1">
        <f t="array" ref="I5">SUMPRODUCT((MOD(COLUMN($P5:$FU5)-COLUMN($P5),2)=0)*($P5:$FU5))</f>
        <v>0</v>
      </c>
      <c r="J5" s="9">
        <f t="shared" ref="J5:J27" si="49">H5-I5</f>
        <v>58800</v>
      </c>
      <c r="K5" s="42">
        <f>'Final Processes daily output'!$F$21</f>
        <v>31680</v>
      </c>
      <c r="L5" s="22">
        <f>_xlfn.XLOOKUP(A5,'Screwing PP DPR'!$A$4:$A$27,'Screwing PP DPR'!$I$4:$I$27)</f>
        <v>0</v>
      </c>
      <c r="M5" s="23">
        <f t="shared" ref="M5:M27" si="50">L5-I5</f>
        <v>0</v>
      </c>
      <c r="N5" s="54">
        <f t="shared" ref="N5:N27" si="51">J5/K5</f>
        <v>1.856060606060606</v>
      </c>
      <c r="O5" s="2"/>
      <c r="P5" s="6"/>
      <c r="Q5" s="2"/>
      <c r="R5" s="6"/>
      <c r="S5" s="2"/>
      <c r="T5" s="6"/>
      <c r="U5" s="2"/>
      <c r="V5" s="6"/>
      <c r="W5" s="2"/>
      <c r="X5" s="6"/>
      <c r="Y5" s="2"/>
      <c r="Z5" s="6"/>
      <c r="AA5" s="2"/>
      <c r="AB5" s="6"/>
      <c r="AC5" s="2"/>
      <c r="AD5" s="6"/>
      <c r="AE5" s="2"/>
      <c r="AF5" s="6"/>
      <c r="AG5" s="2"/>
      <c r="AH5" s="6"/>
      <c r="AI5" s="2"/>
      <c r="AJ5" s="6"/>
      <c r="AK5" s="2"/>
      <c r="AL5" s="6"/>
      <c r="AM5" s="2"/>
      <c r="AN5" s="6"/>
      <c r="AO5" s="2"/>
      <c r="AP5" s="6"/>
      <c r="AQ5" s="2"/>
      <c r="AR5" s="6"/>
      <c r="AS5" s="2"/>
      <c r="AT5" s="6"/>
      <c r="AU5" s="2"/>
      <c r="AV5" s="6"/>
      <c r="AW5" s="2"/>
      <c r="AX5" s="6"/>
      <c r="AY5" s="2"/>
      <c r="AZ5" s="6"/>
      <c r="BA5" s="2"/>
      <c r="BB5" s="6"/>
      <c r="BC5" s="2"/>
      <c r="BD5" s="6"/>
      <c r="BE5" s="2"/>
      <c r="BF5" s="6"/>
      <c r="BG5" s="2"/>
      <c r="BH5" s="6"/>
      <c r="BI5" s="2"/>
      <c r="BJ5" s="6"/>
      <c r="BK5" s="2"/>
      <c r="BL5" s="6"/>
      <c r="BM5" s="2"/>
      <c r="BN5" s="6"/>
      <c r="BO5" s="2"/>
      <c r="BP5" s="6"/>
      <c r="BQ5" s="2"/>
      <c r="BR5" s="6"/>
      <c r="BS5" s="2"/>
      <c r="BT5" s="6"/>
      <c r="BU5" s="2"/>
      <c r="BV5" s="6"/>
      <c r="BW5" s="2"/>
      <c r="BX5" s="6"/>
      <c r="BY5" s="2"/>
      <c r="BZ5" s="6"/>
      <c r="CA5" s="2"/>
      <c r="CB5" s="6"/>
      <c r="CC5" s="2"/>
      <c r="CD5" s="6"/>
      <c r="CE5" s="2"/>
      <c r="CF5" s="6"/>
      <c r="CG5" s="2"/>
      <c r="CH5" s="6"/>
      <c r="CI5" s="2"/>
      <c r="CJ5" s="6"/>
      <c r="CK5" s="2"/>
      <c r="CL5" s="6"/>
      <c r="CM5" s="2"/>
      <c r="CN5" s="6"/>
      <c r="CO5" s="2"/>
      <c r="CP5" s="6"/>
      <c r="CQ5" s="2"/>
      <c r="CR5" s="6"/>
      <c r="CS5" s="2"/>
      <c r="CT5" s="6"/>
      <c r="CU5" s="2"/>
      <c r="CV5" s="6"/>
      <c r="CW5" s="2"/>
      <c r="CX5" s="6"/>
      <c r="CY5" s="2"/>
      <c r="CZ5" s="6"/>
      <c r="DA5" s="2"/>
      <c r="DB5" s="6"/>
      <c r="DC5" s="2"/>
      <c r="DD5" s="6"/>
      <c r="DE5" s="2"/>
      <c r="DF5" s="6"/>
      <c r="DG5" s="2"/>
      <c r="DH5" s="6"/>
      <c r="DI5" s="2"/>
      <c r="DJ5" s="6"/>
      <c r="DK5" s="2"/>
      <c r="DL5" s="6"/>
    </row>
    <row r="6" spans="1:116" x14ac:dyDescent="0.3">
      <c r="A6" s="2" t="s">
        <v>62</v>
      </c>
      <c r="B6" s="3" t="s">
        <v>63</v>
      </c>
      <c r="C6" s="3" t="s">
        <v>171</v>
      </c>
      <c r="D6" s="3" t="s">
        <v>112</v>
      </c>
      <c r="E6" s="3" t="s">
        <v>171</v>
      </c>
      <c r="F6" s="3" t="s">
        <v>112</v>
      </c>
      <c r="G6" s="3"/>
      <c r="H6" s="6">
        <f>SUMIF('Sunglasses BOM'!C4:C81,A6,'Sunglasses BOM'!E4:E81)</f>
        <v>50400</v>
      </c>
      <c r="I6" s="32" cm="1">
        <f t="array" ref="I6">SUMPRODUCT((MOD(COLUMN($P6:$FU6)-COLUMN($P6),2)=0)*($P6:$FU6))</f>
        <v>0</v>
      </c>
      <c r="J6" s="9">
        <f t="shared" si="49"/>
        <v>50400</v>
      </c>
      <c r="K6" s="42">
        <f>'Final Processes daily output'!$F$21</f>
        <v>31680</v>
      </c>
      <c r="L6" s="22">
        <f>_xlfn.XLOOKUP(A6,'Screwing PP DPR'!$A$4:$A$27,'Screwing PP DPR'!$I$4:$I$27)</f>
        <v>0</v>
      </c>
      <c r="M6" s="23">
        <f t="shared" si="50"/>
        <v>0</v>
      </c>
      <c r="N6" s="54">
        <f t="shared" si="51"/>
        <v>1.5909090909090908</v>
      </c>
      <c r="O6" s="2"/>
      <c r="P6" s="6"/>
      <c r="Q6" s="2"/>
      <c r="R6" s="6"/>
      <c r="S6" s="2"/>
      <c r="T6" s="6"/>
      <c r="U6" s="2"/>
      <c r="V6" s="6"/>
      <c r="W6" s="2"/>
      <c r="X6" s="6"/>
      <c r="Y6" s="2"/>
      <c r="Z6" s="6"/>
      <c r="AA6" s="2"/>
      <c r="AB6" s="6"/>
      <c r="AC6" s="2"/>
      <c r="AD6" s="6"/>
      <c r="AE6" s="2"/>
      <c r="AF6" s="6"/>
      <c r="AG6" s="2"/>
      <c r="AH6" s="6"/>
      <c r="AI6" s="2"/>
      <c r="AJ6" s="6"/>
      <c r="AK6" s="2"/>
      <c r="AL6" s="6"/>
      <c r="AM6" s="2"/>
      <c r="AN6" s="6"/>
      <c r="AO6" s="2"/>
      <c r="AP6" s="6"/>
      <c r="AQ6" s="2"/>
      <c r="AR6" s="6"/>
      <c r="AS6" s="2"/>
      <c r="AT6" s="6"/>
      <c r="AU6" s="2"/>
      <c r="AV6" s="6"/>
      <c r="AW6" s="2"/>
      <c r="AX6" s="6"/>
      <c r="AY6" s="2"/>
      <c r="AZ6" s="6"/>
      <c r="BA6" s="2"/>
      <c r="BB6" s="6"/>
      <c r="BC6" s="2"/>
      <c r="BD6" s="6"/>
      <c r="BE6" s="2"/>
      <c r="BF6" s="6"/>
      <c r="BG6" s="2"/>
      <c r="BH6" s="6"/>
      <c r="BI6" s="2"/>
      <c r="BJ6" s="6"/>
      <c r="BK6" s="2"/>
      <c r="BL6" s="6"/>
      <c r="BM6" s="2"/>
      <c r="BN6" s="6"/>
      <c r="BO6" s="2"/>
      <c r="BP6" s="6"/>
      <c r="BQ6" s="2"/>
      <c r="BR6" s="6"/>
      <c r="BS6" s="2"/>
      <c r="BT6" s="6"/>
      <c r="BU6" s="2"/>
      <c r="BV6" s="6"/>
      <c r="BW6" s="2"/>
      <c r="BX6" s="6"/>
      <c r="BY6" s="2"/>
      <c r="BZ6" s="6"/>
      <c r="CA6" s="2"/>
      <c r="CB6" s="6"/>
      <c r="CC6" s="2"/>
      <c r="CD6" s="6"/>
      <c r="CE6" s="2"/>
      <c r="CF6" s="6"/>
      <c r="CG6" s="2"/>
      <c r="CH6" s="6"/>
      <c r="CI6" s="2"/>
      <c r="CJ6" s="6"/>
      <c r="CK6" s="2"/>
      <c r="CL6" s="6"/>
      <c r="CM6" s="2"/>
      <c r="CN6" s="6"/>
      <c r="CO6" s="2"/>
      <c r="CP6" s="6"/>
      <c r="CQ6" s="2"/>
      <c r="CR6" s="6"/>
      <c r="CS6" s="2"/>
      <c r="CT6" s="6"/>
      <c r="CU6" s="2"/>
      <c r="CV6" s="6"/>
      <c r="CW6" s="2"/>
      <c r="CX6" s="6"/>
      <c r="CY6" s="2"/>
      <c r="CZ6" s="6"/>
      <c r="DA6" s="2"/>
      <c r="DB6" s="6"/>
      <c r="DC6" s="2"/>
      <c r="DD6" s="6"/>
      <c r="DE6" s="2"/>
      <c r="DF6" s="6"/>
      <c r="DG6" s="2"/>
      <c r="DH6" s="6"/>
      <c r="DI6" s="2"/>
      <c r="DJ6" s="6"/>
      <c r="DK6" s="2"/>
      <c r="DL6" s="6"/>
    </row>
    <row r="7" spans="1:116" x14ac:dyDescent="0.3">
      <c r="A7" s="2" t="s">
        <v>64</v>
      </c>
      <c r="B7" s="3" t="s">
        <v>65</v>
      </c>
      <c r="C7" s="3" t="s">
        <v>172</v>
      </c>
      <c r="D7" s="3" t="s">
        <v>120</v>
      </c>
      <c r="E7" s="3" t="s">
        <v>172</v>
      </c>
      <c r="F7" s="3" t="s">
        <v>120</v>
      </c>
      <c r="G7" s="3" t="s">
        <v>119</v>
      </c>
      <c r="H7" s="6">
        <f>SUMIF('Sunglasses BOM'!C5:C82,A7,'Sunglasses BOM'!E5:E82)</f>
        <v>25200</v>
      </c>
      <c r="I7" s="32" cm="1">
        <f t="array" ref="I7">SUMPRODUCT((MOD(COLUMN($P7:$FU7)-COLUMN($P7),2)=0)*($P7:$FU7))</f>
        <v>0</v>
      </c>
      <c r="J7" s="9">
        <f t="shared" si="49"/>
        <v>25200</v>
      </c>
      <c r="K7" s="42">
        <f>'Final Processes daily output'!$F$21</f>
        <v>31680</v>
      </c>
      <c r="L7" s="22">
        <f>_xlfn.XLOOKUP(A7,'Screwing PP DPR'!$A$4:$A$27,'Screwing PP DPR'!$I$4:$I$27)</f>
        <v>0</v>
      </c>
      <c r="M7" s="23">
        <f t="shared" si="50"/>
        <v>0</v>
      </c>
      <c r="N7" s="54">
        <f t="shared" si="51"/>
        <v>0.79545454545454541</v>
      </c>
      <c r="O7" s="2"/>
      <c r="P7" s="6"/>
      <c r="Q7" s="2"/>
      <c r="R7" s="6"/>
      <c r="S7" s="2"/>
      <c r="T7" s="6"/>
      <c r="U7" s="2"/>
      <c r="V7" s="6"/>
      <c r="W7" s="2"/>
      <c r="X7" s="6"/>
      <c r="Y7" s="2"/>
      <c r="Z7" s="6"/>
      <c r="AA7" s="2"/>
      <c r="AB7" s="6"/>
      <c r="AC7" s="2"/>
      <c r="AD7" s="6"/>
      <c r="AE7" s="2"/>
      <c r="AF7" s="6"/>
      <c r="AG7" s="2"/>
      <c r="AH7" s="6"/>
      <c r="AI7" s="2"/>
      <c r="AJ7" s="6"/>
      <c r="AK7" s="2"/>
      <c r="AL7" s="6"/>
      <c r="AM7" s="2"/>
      <c r="AN7" s="6"/>
      <c r="AO7" s="2"/>
      <c r="AP7" s="6"/>
      <c r="AQ7" s="2"/>
      <c r="AR7" s="6"/>
      <c r="AS7" s="2"/>
      <c r="AT7" s="6"/>
      <c r="AU7" s="2"/>
      <c r="AV7" s="6"/>
      <c r="AW7" s="2"/>
      <c r="AX7" s="6"/>
      <c r="AY7" s="2"/>
      <c r="AZ7" s="6"/>
      <c r="BA7" s="2"/>
      <c r="BB7" s="6"/>
      <c r="BC7" s="2"/>
      <c r="BD7" s="6"/>
      <c r="BE7" s="2"/>
      <c r="BF7" s="6"/>
      <c r="BG7" s="2"/>
      <c r="BH7" s="6"/>
      <c r="BI7" s="2"/>
      <c r="BJ7" s="6"/>
      <c r="BK7" s="2"/>
      <c r="BL7" s="6"/>
      <c r="BM7" s="2"/>
      <c r="BN7" s="6"/>
      <c r="BO7" s="2"/>
      <c r="BP7" s="6"/>
      <c r="BQ7" s="2"/>
      <c r="BR7" s="6"/>
      <c r="BS7" s="2"/>
      <c r="BT7" s="6"/>
      <c r="BU7" s="2"/>
      <c r="BV7" s="6"/>
      <c r="BW7" s="2"/>
      <c r="BX7" s="6"/>
      <c r="BY7" s="2"/>
      <c r="BZ7" s="6"/>
      <c r="CA7" s="2"/>
      <c r="CB7" s="6"/>
      <c r="CC7" s="2"/>
      <c r="CD7" s="6"/>
      <c r="CE7" s="2"/>
      <c r="CF7" s="6"/>
      <c r="CG7" s="2"/>
      <c r="CH7" s="6"/>
      <c r="CI7" s="2"/>
      <c r="CJ7" s="6"/>
      <c r="CK7" s="2"/>
      <c r="CL7" s="6"/>
      <c r="CM7" s="2"/>
      <c r="CN7" s="6"/>
      <c r="CO7" s="2"/>
      <c r="CP7" s="6"/>
      <c r="CQ7" s="2"/>
      <c r="CR7" s="6"/>
      <c r="CS7" s="2"/>
      <c r="CT7" s="6"/>
      <c r="CU7" s="2"/>
      <c r="CV7" s="6"/>
      <c r="CW7" s="2"/>
      <c r="CX7" s="6"/>
      <c r="CY7" s="2"/>
      <c r="CZ7" s="6"/>
      <c r="DA7" s="2"/>
      <c r="DB7" s="6"/>
      <c r="DC7" s="2"/>
      <c r="DD7" s="6"/>
      <c r="DE7" s="2"/>
      <c r="DF7" s="6"/>
      <c r="DG7" s="2"/>
      <c r="DH7" s="6"/>
      <c r="DI7" s="2"/>
      <c r="DJ7" s="6"/>
      <c r="DK7" s="2"/>
      <c r="DL7" s="6"/>
    </row>
    <row r="8" spans="1:116" x14ac:dyDescent="0.3">
      <c r="A8" s="2" t="s">
        <v>66</v>
      </c>
      <c r="B8" s="3" t="s">
        <v>67</v>
      </c>
      <c r="C8" s="3" t="s">
        <v>172</v>
      </c>
      <c r="D8" s="3" t="s">
        <v>120</v>
      </c>
      <c r="E8" s="3" t="s">
        <v>172</v>
      </c>
      <c r="F8" s="3" t="s">
        <v>120</v>
      </c>
      <c r="G8" s="3"/>
      <c r="H8" s="6">
        <f>SUMIF('Sunglasses BOM'!C6:C83,A8,'Sunglasses BOM'!E6:E83)</f>
        <v>25200</v>
      </c>
      <c r="I8" s="32" cm="1">
        <f t="array" ref="I8">SUMPRODUCT((MOD(COLUMN($P8:$FU8)-COLUMN($P8),2)=0)*($P8:$FU8))</f>
        <v>0</v>
      </c>
      <c r="J8" s="9">
        <f t="shared" si="49"/>
        <v>25200</v>
      </c>
      <c r="K8" s="42">
        <f>'Final Processes daily output'!$F$21</f>
        <v>31680</v>
      </c>
      <c r="L8" s="22">
        <f>_xlfn.XLOOKUP(A8,'Screwing PP DPR'!$A$4:$A$27,'Screwing PP DPR'!$I$4:$I$27)</f>
        <v>0</v>
      </c>
      <c r="M8" s="23">
        <f t="shared" si="50"/>
        <v>0</v>
      </c>
      <c r="N8" s="54">
        <f t="shared" si="51"/>
        <v>0.79545454545454541</v>
      </c>
      <c r="O8" s="2"/>
      <c r="P8" s="6"/>
      <c r="Q8" s="2"/>
      <c r="R8" s="6"/>
      <c r="S8" s="2"/>
      <c r="T8" s="6"/>
      <c r="U8" s="2"/>
      <c r="V8" s="6"/>
      <c r="W8" s="2"/>
      <c r="X8" s="6"/>
      <c r="Y8" s="2"/>
      <c r="Z8" s="6"/>
      <c r="AA8" s="2"/>
      <c r="AB8" s="6"/>
      <c r="AC8" s="2"/>
      <c r="AD8" s="6"/>
      <c r="AE8" s="2"/>
      <c r="AF8" s="6"/>
      <c r="AG8" s="2"/>
      <c r="AH8" s="6"/>
      <c r="AI8" s="2"/>
      <c r="AJ8" s="6"/>
      <c r="AK8" s="2"/>
      <c r="AL8" s="6"/>
      <c r="AM8" s="2"/>
      <c r="AN8" s="6"/>
      <c r="AO8" s="2"/>
      <c r="AP8" s="6"/>
      <c r="AQ8" s="2"/>
      <c r="AR8" s="6"/>
      <c r="AS8" s="2"/>
      <c r="AT8" s="6"/>
      <c r="AU8" s="2"/>
      <c r="AV8" s="6"/>
      <c r="AW8" s="2"/>
      <c r="AX8" s="6"/>
      <c r="AY8" s="2"/>
      <c r="AZ8" s="6"/>
      <c r="BA8" s="2"/>
      <c r="BB8" s="6"/>
      <c r="BC8" s="2"/>
      <c r="BD8" s="6"/>
      <c r="BE8" s="2"/>
      <c r="BF8" s="6"/>
      <c r="BG8" s="2"/>
      <c r="BH8" s="6"/>
      <c r="BI8" s="2"/>
      <c r="BJ8" s="6"/>
      <c r="BK8" s="2"/>
      <c r="BL8" s="6"/>
      <c r="BM8" s="2"/>
      <c r="BN8" s="6"/>
      <c r="BO8" s="2"/>
      <c r="BP8" s="6"/>
      <c r="BQ8" s="2"/>
      <c r="BR8" s="6"/>
      <c r="BS8" s="2"/>
      <c r="BT8" s="6"/>
      <c r="BU8" s="2"/>
      <c r="BV8" s="6"/>
      <c r="BW8" s="2"/>
      <c r="BX8" s="6"/>
      <c r="BY8" s="2"/>
      <c r="BZ8" s="6"/>
      <c r="CA8" s="2"/>
      <c r="CB8" s="6"/>
      <c r="CC8" s="2"/>
      <c r="CD8" s="6"/>
      <c r="CE8" s="2"/>
      <c r="CF8" s="6"/>
      <c r="CG8" s="2"/>
      <c r="CH8" s="6"/>
      <c r="CI8" s="2"/>
      <c r="CJ8" s="6"/>
      <c r="CK8" s="2"/>
      <c r="CL8" s="6"/>
      <c r="CM8" s="2"/>
      <c r="CN8" s="6"/>
      <c r="CO8" s="2"/>
      <c r="CP8" s="6"/>
      <c r="CQ8" s="2"/>
      <c r="CR8" s="6"/>
      <c r="CS8" s="2"/>
      <c r="CT8" s="6"/>
      <c r="CU8" s="2"/>
      <c r="CV8" s="6"/>
      <c r="CW8" s="2"/>
      <c r="CX8" s="6"/>
      <c r="CY8" s="2"/>
      <c r="CZ8" s="6"/>
      <c r="DA8" s="2"/>
      <c r="DB8" s="6"/>
      <c r="DC8" s="2"/>
      <c r="DD8" s="6"/>
      <c r="DE8" s="2"/>
      <c r="DF8" s="6"/>
      <c r="DG8" s="2"/>
      <c r="DH8" s="6"/>
      <c r="DI8" s="2"/>
      <c r="DJ8" s="6"/>
      <c r="DK8" s="2"/>
      <c r="DL8" s="6"/>
    </row>
    <row r="9" spans="1:116" x14ac:dyDescent="0.3">
      <c r="A9" s="2" t="s">
        <v>68</v>
      </c>
      <c r="B9" s="3" t="s">
        <v>69</v>
      </c>
      <c r="C9" s="3" t="s">
        <v>173</v>
      </c>
      <c r="D9" s="3" t="s">
        <v>116</v>
      </c>
      <c r="E9" s="3" t="s">
        <v>173</v>
      </c>
      <c r="F9" s="3" t="s">
        <v>116</v>
      </c>
      <c r="G9" s="3" t="s">
        <v>119</v>
      </c>
      <c r="H9" s="6">
        <f>SUMIF('Sunglasses BOM'!C7:C84,A9,'Sunglasses BOM'!E7:E84)</f>
        <v>42000</v>
      </c>
      <c r="I9" s="32" cm="1">
        <f t="array" ref="I9">SUMPRODUCT((MOD(COLUMN($P9:$FU9)-COLUMN($P9),2)=0)*($P9:$FU9))</f>
        <v>0</v>
      </c>
      <c r="J9" s="9">
        <f t="shared" si="49"/>
        <v>42000</v>
      </c>
      <c r="K9" s="42">
        <f>'Final Processes daily output'!$F$21</f>
        <v>31680</v>
      </c>
      <c r="L9" s="22">
        <f>_xlfn.XLOOKUP(A9,'Screwing PP DPR'!$A$4:$A$27,'Screwing PP DPR'!$I$4:$I$27)</f>
        <v>0</v>
      </c>
      <c r="M9" s="23">
        <f t="shared" si="50"/>
        <v>0</v>
      </c>
      <c r="N9" s="54">
        <f t="shared" si="51"/>
        <v>1.3257575757575757</v>
      </c>
      <c r="O9" s="2"/>
      <c r="P9" s="6"/>
      <c r="Q9" s="2"/>
      <c r="R9" s="6"/>
      <c r="S9" s="2"/>
      <c r="T9" s="6"/>
      <c r="U9" s="2"/>
      <c r="V9" s="6"/>
      <c r="W9" s="2"/>
      <c r="X9" s="6"/>
      <c r="Y9" s="2"/>
      <c r="Z9" s="6"/>
      <c r="AA9" s="2"/>
      <c r="AB9" s="6"/>
      <c r="AC9" s="2"/>
      <c r="AD9" s="6"/>
      <c r="AE9" s="2"/>
      <c r="AF9" s="6"/>
      <c r="AG9" s="2"/>
      <c r="AH9" s="6"/>
      <c r="AI9" s="2"/>
      <c r="AJ9" s="6"/>
      <c r="AK9" s="2"/>
      <c r="AL9" s="6"/>
      <c r="AM9" s="2"/>
      <c r="AN9" s="6"/>
      <c r="AO9" s="2"/>
      <c r="AP9" s="6"/>
      <c r="AQ9" s="2"/>
      <c r="AR9" s="6"/>
      <c r="AS9" s="2"/>
      <c r="AT9" s="6"/>
      <c r="AU9" s="2"/>
      <c r="AV9" s="6"/>
      <c r="AW9" s="2"/>
      <c r="AX9" s="6"/>
      <c r="AY9" s="2"/>
      <c r="AZ9" s="6"/>
      <c r="BA9" s="2"/>
      <c r="BB9" s="6"/>
      <c r="BC9" s="2"/>
      <c r="BD9" s="6"/>
      <c r="BE9" s="2"/>
      <c r="BF9" s="6"/>
      <c r="BG9" s="2"/>
      <c r="BH9" s="6"/>
      <c r="BI9" s="2"/>
      <c r="BJ9" s="6"/>
      <c r="BK9" s="2"/>
      <c r="BL9" s="6"/>
      <c r="BM9" s="2"/>
      <c r="BN9" s="6"/>
      <c r="BO9" s="2"/>
      <c r="BP9" s="6"/>
      <c r="BQ9" s="2"/>
      <c r="BR9" s="6"/>
      <c r="BS9" s="2"/>
      <c r="BT9" s="6"/>
      <c r="BU9" s="2"/>
      <c r="BV9" s="6"/>
      <c r="BW9" s="2"/>
      <c r="BX9" s="6"/>
      <c r="BY9" s="2"/>
      <c r="BZ9" s="6"/>
      <c r="CA9" s="2"/>
      <c r="CB9" s="6"/>
      <c r="CC9" s="2"/>
      <c r="CD9" s="6"/>
      <c r="CE9" s="2"/>
      <c r="CF9" s="6"/>
      <c r="CG9" s="2"/>
      <c r="CH9" s="6"/>
      <c r="CI9" s="2"/>
      <c r="CJ9" s="6"/>
      <c r="CK9" s="2"/>
      <c r="CL9" s="6"/>
      <c r="CM9" s="2"/>
      <c r="CN9" s="6"/>
      <c r="CO9" s="2"/>
      <c r="CP9" s="6"/>
      <c r="CQ9" s="2"/>
      <c r="CR9" s="6"/>
      <c r="CS9" s="2"/>
      <c r="CT9" s="6"/>
      <c r="CU9" s="2"/>
      <c r="CV9" s="6"/>
      <c r="CW9" s="2"/>
      <c r="CX9" s="6"/>
      <c r="CY9" s="2"/>
      <c r="CZ9" s="6"/>
      <c r="DA9" s="2"/>
      <c r="DB9" s="6"/>
      <c r="DC9" s="2"/>
      <c r="DD9" s="6"/>
      <c r="DE9" s="2"/>
      <c r="DF9" s="6"/>
      <c r="DG9" s="2"/>
      <c r="DH9" s="6"/>
      <c r="DI9" s="2"/>
      <c r="DJ9" s="6"/>
      <c r="DK9" s="2"/>
      <c r="DL9" s="6"/>
    </row>
    <row r="10" spans="1:116" x14ac:dyDescent="0.3">
      <c r="A10" s="2" t="s">
        <v>70</v>
      </c>
      <c r="B10" s="3" t="s">
        <v>71</v>
      </c>
      <c r="C10" s="3" t="s">
        <v>173</v>
      </c>
      <c r="D10" s="3" t="s">
        <v>116</v>
      </c>
      <c r="E10" s="3" t="s">
        <v>173</v>
      </c>
      <c r="F10" s="3" t="s">
        <v>116</v>
      </c>
      <c r="G10" s="3"/>
      <c r="H10" s="6">
        <f>SUMIF('Sunglasses BOM'!C8:C85,A10,'Sunglasses BOM'!E8:E85)</f>
        <v>42000</v>
      </c>
      <c r="I10" s="32" cm="1">
        <f t="array" ref="I10">SUMPRODUCT((MOD(COLUMN($P10:$FU10)-COLUMN($P10),2)=0)*($P10:$FU10))</f>
        <v>0</v>
      </c>
      <c r="J10" s="9">
        <f t="shared" si="49"/>
        <v>42000</v>
      </c>
      <c r="K10" s="42">
        <f>'Final Processes daily output'!$F$21</f>
        <v>31680</v>
      </c>
      <c r="L10" s="22">
        <f>_xlfn.XLOOKUP(A10,'Screwing PP DPR'!$A$4:$A$27,'Screwing PP DPR'!$I$4:$I$27)</f>
        <v>0</v>
      </c>
      <c r="M10" s="23">
        <f t="shared" si="50"/>
        <v>0</v>
      </c>
      <c r="N10" s="54">
        <f t="shared" si="51"/>
        <v>1.3257575757575757</v>
      </c>
      <c r="O10" s="2"/>
      <c r="P10" s="6"/>
      <c r="Q10" s="2"/>
      <c r="R10" s="6"/>
      <c r="S10" s="2"/>
      <c r="T10" s="6"/>
      <c r="U10" s="2"/>
      <c r="V10" s="6"/>
      <c r="W10" s="2"/>
      <c r="X10" s="6"/>
      <c r="Y10" s="2"/>
      <c r="Z10" s="6"/>
      <c r="AA10" s="2"/>
      <c r="AB10" s="6"/>
      <c r="AC10" s="2"/>
      <c r="AD10" s="6"/>
      <c r="AE10" s="2"/>
      <c r="AF10" s="6"/>
      <c r="AG10" s="2"/>
      <c r="AH10" s="6"/>
      <c r="AI10" s="2"/>
      <c r="AJ10" s="6"/>
      <c r="AK10" s="2"/>
      <c r="AL10" s="6"/>
      <c r="AM10" s="2"/>
      <c r="AN10" s="6"/>
      <c r="AO10" s="2"/>
      <c r="AP10" s="6"/>
      <c r="AQ10" s="2"/>
      <c r="AR10" s="6"/>
      <c r="AS10" s="2"/>
      <c r="AT10" s="6"/>
      <c r="AU10" s="2"/>
      <c r="AV10" s="6"/>
      <c r="AW10" s="2"/>
      <c r="AX10" s="6"/>
      <c r="AY10" s="2"/>
      <c r="AZ10" s="6"/>
      <c r="BA10" s="2"/>
      <c r="BB10" s="6"/>
      <c r="BC10" s="2"/>
      <c r="BD10" s="6"/>
      <c r="BE10" s="2"/>
      <c r="BF10" s="6"/>
      <c r="BG10" s="2"/>
      <c r="BH10" s="6"/>
      <c r="BI10" s="2"/>
      <c r="BJ10" s="6"/>
      <c r="BK10" s="2"/>
      <c r="BL10" s="6"/>
      <c r="BM10" s="2"/>
      <c r="BN10" s="6"/>
      <c r="BO10" s="2"/>
      <c r="BP10" s="6"/>
      <c r="BQ10" s="2"/>
      <c r="BR10" s="6"/>
      <c r="BS10" s="2"/>
      <c r="BT10" s="6"/>
      <c r="BU10" s="2"/>
      <c r="BV10" s="6"/>
      <c r="BW10" s="2"/>
      <c r="BX10" s="6"/>
      <c r="BY10" s="2"/>
      <c r="BZ10" s="6"/>
      <c r="CA10" s="2"/>
      <c r="CB10" s="6"/>
      <c r="CC10" s="2"/>
      <c r="CD10" s="6"/>
      <c r="CE10" s="2"/>
      <c r="CF10" s="6"/>
      <c r="CG10" s="2"/>
      <c r="CH10" s="6"/>
      <c r="CI10" s="2"/>
      <c r="CJ10" s="6"/>
      <c r="CK10" s="2"/>
      <c r="CL10" s="6"/>
      <c r="CM10" s="2"/>
      <c r="CN10" s="6"/>
      <c r="CO10" s="2"/>
      <c r="CP10" s="6"/>
      <c r="CQ10" s="2"/>
      <c r="CR10" s="6"/>
      <c r="CS10" s="2"/>
      <c r="CT10" s="6"/>
      <c r="CU10" s="2"/>
      <c r="CV10" s="6"/>
      <c r="CW10" s="2"/>
      <c r="CX10" s="6"/>
      <c r="CY10" s="2"/>
      <c r="CZ10" s="6"/>
      <c r="DA10" s="2"/>
      <c r="DB10" s="6"/>
      <c r="DC10" s="2"/>
      <c r="DD10" s="6"/>
      <c r="DE10" s="2"/>
      <c r="DF10" s="6"/>
      <c r="DG10" s="2"/>
      <c r="DH10" s="6"/>
      <c r="DI10" s="2"/>
      <c r="DJ10" s="6"/>
      <c r="DK10" s="2"/>
      <c r="DL10" s="6"/>
    </row>
    <row r="11" spans="1:116" ht="15" thickBot="1" x14ac:dyDescent="0.35">
      <c r="A11" s="2" t="s">
        <v>72</v>
      </c>
      <c r="B11" s="3" t="s">
        <v>73</v>
      </c>
      <c r="C11" s="3" t="s">
        <v>113</v>
      </c>
      <c r="D11" s="3" t="s">
        <v>113</v>
      </c>
      <c r="E11" s="3" t="s">
        <v>113</v>
      </c>
      <c r="F11" s="3" t="s">
        <v>113</v>
      </c>
      <c r="G11" s="3" t="s">
        <v>119</v>
      </c>
      <c r="H11" s="6">
        <f>SUMIF('Sunglasses BOM'!C9:C86,A11,'Sunglasses BOM'!E9:E86)</f>
        <v>33600</v>
      </c>
      <c r="I11" s="32" cm="1">
        <f t="array" ref="I11">SUMPRODUCT((MOD(COLUMN($P11:$FU11)-COLUMN($P11),2)=0)*($P11:$FU11))</f>
        <v>0</v>
      </c>
      <c r="J11" s="10">
        <f t="shared" si="49"/>
        <v>33600</v>
      </c>
      <c r="K11" s="42">
        <f>'Final Processes daily output'!$F$21</f>
        <v>31680</v>
      </c>
      <c r="L11" s="22">
        <f>_xlfn.XLOOKUP(A11,'Screwing PP DPR'!$A$4:$A$27,'Screwing PP DPR'!$I$4:$I$27)</f>
        <v>0</v>
      </c>
      <c r="M11" s="23">
        <f t="shared" si="50"/>
        <v>0</v>
      </c>
      <c r="N11" s="55">
        <f t="shared" si="51"/>
        <v>1.0606060606060606</v>
      </c>
      <c r="O11" s="4"/>
      <c r="P11" s="7"/>
      <c r="Q11" s="4"/>
      <c r="R11" s="7"/>
      <c r="S11" s="4"/>
      <c r="T11" s="7"/>
      <c r="U11" s="4"/>
      <c r="V11" s="7"/>
      <c r="W11" s="4"/>
      <c r="X11" s="7"/>
      <c r="Y11" s="4"/>
      <c r="Z11" s="7"/>
      <c r="AA11" s="4"/>
      <c r="AB11" s="7"/>
      <c r="AC11" s="4"/>
      <c r="AD11" s="7"/>
      <c r="AE11" s="4"/>
      <c r="AF11" s="7"/>
      <c r="AG11" s="4"/>
      <c r="AH11" s="7"/>
      <c r="AI11" s="4"/>
      <c r="AJ11" s="7"/>
      <c r="AK11" s="4"/>
      <c r="AL11" s="7"/>
      <c r="AM11" s="4"/>
      <c r="AN11" s="7"/>
      <c r="AO11" s="4"/>
      <c r="AP11" s="7"/>
      <c r="AQ11" s="4"/>
      <c r="AR11" s="7"/>
      <c r="AS11" s="4"/>
      <c r="AT11" s="7"/>
      <c r="AU11" s="4"/>
      <c r="AV11" s="7"/>
      <c r="AW11" s="4"/>
      <c r="AX11" s="7"/>
      <c r="AY11" s="4"/>
      <c r="AZ11" s="7"/>
      <c r="BA11" s="4"/>
      <c r="BB11" s="7"/>
      <c r="BC11" s="4"/>
      <c r="BD11" s="7"/>
      <c r="BE11" s="4"/>
      <c r="BF11" s="7"/>
      <c r="BG11" s="4"/>
      <c r="BH11" s="7"/>
      <c r="BI11" s="4"/>
      <c r="BJ11" s="7"/>
      <c r="BK11" s="4"/>
      <c r="BL11" s="7"/>
      <c r="BM11" s="4"/>
      <c r="BN11" s="7"/>
      <c r="BO11" s="4"/>
      <c r="BP11" s="7"/>
      <c r="BQ11" s="4"/>
      <c r="BR11" s="7"/>
      <c r="BS11" s="4"/>
      <c r="BT11" s="7"/>
      <c r="BU11" s="4"/>
      <c r="BV11" s="7"/>
      <c r="BW11" s="4"/>
      <c r="BX11" s="7"/>
      <c r="BY11" s="4"/>
      <c r="BZ11" s="7"/>
      <c r="CA11" s="4"/>
      <c r="CB11" s="7"/>
      <c r="CC11" s="4"/>
      <c r="CD11" s="7"/>
      <c r="CE11" s="4"/>
      <c r="CF11" s="7"/>
      <c r="CG11" s="4"/>
      <c r="CH11" s="7"/>
      <c r="CI11" s="4"/>
      <c r="CJ11" s="7"/>
      <c r="CK11" s="4"/>
      <c r="CL11" s="7"/>
      <c r="CM11" s="4"/>
      <c r="CN11" s="7"/>
      <c r="CO11" s="4"/>
      <c r="CP11" s="7"/>
      <c r="CQ11" s="4"/>
      <c r="CR11" s="7"/>
      <c r="CS11" s="4"/>
      <c r="CT11" s="7"/>
      <c r="CU11" s="4"/>
      <c r="CV11" s="7"/>
      <c r="CW11" s="4"/>
      <c r="CX11" s="7"/>
      <c r="CY11" s="4"/>
      <c r="CZ11" s="7"/>
      <c r="DA11" s="4"/>
      <c r="DB11" s="7"/>
      <c r="DC11" s="4"/>
      <c r="DD11" s="7"/>
      <c r="DE11" s="4"/>
      <c r="DF11" s="7"/>
      <c r="DG11" s="4"/>
      <c r="DH11" s="7"/>
      <c r="DI11" s="4"/>
      <c r="DJ11" s="7"/>
      <c r="DK11" s="4"/>
      <c r="DL11" s="7"/>
    </row>
    <row r="12" spans="1:116" ht="15" thickBot="1" x14ac:dyDescent="0.35">
      <c r="A12" s="2" t="s">
        <v>74</v>
      </c>
      <c r="B12" s="3" t="s">
        <v>75</v>
      </c>
      <c r="C12" s="3" t="s">
        <v>113</v>
      </c>
      <c r="D12" s="3" t="s">
        <v>113</v>
      </c>
      <c r="E12" s="3" t="s">
        <v>113</v>
      </c>
      <c r="F12" s="3" t="s">
        <v>113</v>
      </c>
      <c r="G12" s="3"/>
      <c r="H12" s="6">
        <f>SUMIF('Sunglasses BOM'!C10:C87,A12,'Sunglasses BOM'!E10:E87)</f>
        <v>42000</v>
      </c>
      <c r="I12" s="32" cm="1">
        <f t="array" ref="I12">SUMPRODUCT((MOD(COLUMN($P12:$FU12)-COLUMN($P12),2)=0)*($P12:$FU12))</f>
        <v>0</v>
      </c>
      <c r="J12" s="10">
        <f t="shared" si="49"/>
        <v>42000</v>
      </c>
      <c r="K12" s="42">
        <f>'Final Processes daily output'!$F$21</f>
        <v>31680</v>
      </c>
      <c r="L12" s="22">
        <f>_xlfn.XLOOKUP(A12,'Screwing PP DPR'!$A$4:$A$27,'Screwing PP DPR'!$I$4:$I$27)</f>
        <v>0</v>
      </c>
      <c r="M12" s="23">
        <f t="shared" si="50"/>
        <v>0</v>
      </c>
      <c r="N12" s="55">
        <f t="shared" si="51"/>
        <v>1.3257575757575757</v>
      </c>
      <c r="O12" s="4"/>
      <c r="P12" s="7"/>
      <c r="Q12" s="4"/>
      <c r="R12" s="7"/>
      <c r="S12" s="4"/>
      <c r="T12" s="7"/>
      <c r="U12" s="4"/>
      <c r="V12" s="7"/>
      <c r="W12" s="4"/>
      <c r="X12" s="7"/>
      <c r="Y12" s="4"/>
      <c r="Z12" s="7"/>
      <c r="AA12" s="4"/>
      <c r="AB12" s="7"/>
      <c r="AC12" s="4"/>
      <c r="AD12" s="7"/>
      <c r="AE12" s="4"/>
      <c r="AF12" s="7"/>
      <c r="AG12" s="4"/>
      <c r="AH12" s="7"/>
      <c r="AI12" s="4"/>
      <c r="AJ12" s="7"/>
      <c r="AK12" s="4"/>
      <c r="AL12" s="7"/>
      <c r="AM12" s="4"/>
      <c r="AN12" s="7"/>
      <c r="AO12" s="4"/>
      <c r="AP12" s="7"/>
      <c r="AQ12" s="4"/>
      <c r="AR12" s="7"/>
      <c r="AS12" s="4"/>
      <c r="AT12" s="7"/>
      <c r="AU12" s="4"/>
      <c r="AV12" s="7"/>
      <c r="AW12" s="4"/>
      <c r="AX12" s="7"/>
      <c r="AY12" s="4"/>
      <c r="AZ12" s="7"/>
      <c r="BA12" s="4"/>
      <c r="BB12" s="7"/>
      <c r="BC12" s="4"/>
      <c r="BD12" s="7"/>
      <c r="BE12" s="4"/>
      <c r="BF12" s="7"/>
      <c r="BG12" s="4"/>
      <c r="BH12" s="7"/>
      <c r="BI12" s="4"/>
      <c r="BJ12" s="7"/>
      <c r="BK12" s="4"/>
      <c r="BL12" s="7"/>
      <c r="BM12" s="4"/>
      <c r="BN12" s="7"/>
      <c r="BO12" s="4"/>
      <c r="BP12" s="7"/>
      <c r="BQ12" s="4"/>
      <c r="BR12" s="7"/>
      <c r="BS12" s="4"/>
      <c r="BT12" s="7"/>
      <c r="BU12" s="4"/>
      <c r="BV12" s="7"/>
      <c r="BW12" s="4"/>
      <c r="BX12" s="7"/>
      <c r="BY12" s="4"/>
      <c r="BZ12" s="7"/>
      <c r="CA12" s="4"/>
      <c r="CB12" s="7"/>
      <c r="CC12" s="4"/>
      <c r="CD12" s="7"/>
      <c r="CE12" s="4"/>
      <c r="CF12" s="7"/>
      <c r="CG12" s="4"/>
      <c r="CH12" s="7"/>
      <c r="CI12" s="4"/>
      <c r="CJ12" s="7"/>
      <c r="CK12" s="4"/>
      <c r="CL12" s="7"/>
      <c r="CM12" s="4"/>
      <c r="CN12" s="7"/>
      <c r="CO12" s="4"/>
      <c r="CP12" s="7"/>
      <c r="CQ12" s="4"/>
      <c r="CR12" s="7"/>
      <c r="CS12" s="4"/>
      <c r="CT12" s="7"/>
      <c r="CU12" s="4"/>
      <c r="CV12" s="7"/>
      <c r="CW12" s="4"/>
      <c r="CX12" s="7"/>
      <c r="CY12" s="4"/>
      <c r="CZ12" s="7"/>
      <c r="DA12" s="4"/>
      <c r="DB12" s="7"/>
      <c r="DC12" s="4"/>
      <c r="DD12" s="7"/>
      <c r="DE12" s="4"/>
      <c r="DF12" s="7"/>
      <c r="DG12" s="4"/>
      <c r="DH12" s="7"/>
      <c r="DI12" s="4"/>
      <c r="DJ12" s="7"/>
      <c r="DK12" s="4"/>
      <c r="DL12" s="7"/>
    </row>
    <row r="13" spans="1:116" ht="15" thickBot="1" x14ac:dyDescent="0.35">
      <c r="A13" s="2" t="s">
        <v>76</v>
      </c>
      <c r="B13" s="3" t="s">
        <v>77</v>
      </c>
      <c r="C13" s="3" t="s">
        <v>170</v>
      </c>
      <c r="D13" s="3" t="s">
        <v>111</v>
      </c>
      <c r="E13" s="3" t="s">
        <v>174</v>
      </c>
      <c r="F13" s="3" t="s">
        <v>121</v>
      </c>
      <c r="G13" s="3"/>
      <c r="H13" s="6">
        <f>SUMIF('Sunglasses BOM'!C11:C88,A13,'Sunglasses BOM'!E11:E88)</f>
        <v>8400</v>
      </c>
      <c r="I13" s="32" cm="1">
        <f t="array" ref="I13">SUMPRODUCT((MOD(COLUMN($P13:$FU13)-COLUMN($P13),2)=0)*($P13:$FU13))</f>
        <v>0</v>
      </c>
      <c r="J13" s="10">
        <f t="shared" si="49"/>
        <v>8400</v>
      </c>
      <c r="K13" s="42">
        <f>'Final Processes daily output'!$F$21</f>
        <v>31680</v>
      </c>
      <c r="L13" s="22">
        <f>_xlfn.XLOOKUP(A13,'Screwing PP DPR'!$A$4:$A$27,'Screwing PP DPR'!$I$4:$I$27)</f>
        <v>0</v>
      </c>
      <c r="M13" s="23">
        <f t="shared" si="50"/>
        <v>0</v>
      </c>
      <c r="N13" s="55">
        <f t="shared" si="51"/>
        <v>0.26515151515151514</v>
      </c>
      <c r="O13" s="4"/>
      <c r="P13" s="7"/>
      <c r="Q13" s="4"/>
      <c r="R13" s="7"/>
      <c r="S13" s="4"/>
      <c r="T13" s="7"/>
      <c r="U13" s="4"/>
      <c r="V13" s="7"/>
      <c r="W13" s="4"/>
      <c r="X13" s="7"/>
      <c r="Y13" s="4"/>
      <c r="Z13" s="7"/>
      <c r="AA13" s="4"/>
      <c r="AB13" s="7"/>
      <c r="AC13" s="4"/>
      <c r="AD13" s="7"/>
      <c r="AE13" s="4"/>
      <c r="AF13" s="7"/>
      <c r="AG13" s="4"/>
      <c r="AH13" s="7"/>
      <c r="AI13" s="4"/>
      <c r="AJ13" s="7"/>
      <c r="AK13" s="4"/>
      <c r="AL13" s="7"/>
      <c r="AM13" s="4"/>
      <c r="AN13" s="7"/>
      <c r="AO13" s="4"/>
      <c r="AP13" s="7"/>
      <c r="AQ13" s="4"/>
      <c r="AR13" s="7"/>
      <c r="AS13" s="4"/>
      <c r="AT13" s="7"/>
      <c r="AU13" s="4"/>
      <c r="AV13" s="7"/>
      <c r="AW13" s="4"/>
      <c r="AX13" s="7"/>
      <c r="AY13" s="4"/>
      <c r="AZ13" s="7"/>
      <c r="BA13" s="4"/>
      <c r="BB13" s="7"/>
      <c r="BC13" s="4"/>
      <c r="BD13" s="7"/>
      <c r="BE13" s="4"/>
      <c r="BF13" s="7"/>
      <c r="BG13" s="4"/>
      <c r="BH13" s="7"/>
      <c r="BI13" s="4"/>
      <c r="BJ13" s="7"/>
      <c r="BK13" s="4"/>
      <c r="BL13" s="7"/>
      <c r="BM13" s="4"/>
      <c r="BN13" s="7"/>
      <c r="BO13" s="4"/>
      <c r="BP13" s="7"/>
      <c r="BQ13" s="4"/>
      <c r="BR13" s="7"/>
      <c r="BS13" s="4"/>
      <c r="BT13" s="7"/>
      <c r="BU13" s="4"/>
      <c r="BV13" s="7"/>
      <c r="BW13" s="4"/>
      <c r="BX13" s="7"/>
      <c r="BY13" s="4"/>
      <c r="BZ13" s="7"/>
      <c r="CA13" s="4"/>
      <c r="CB13" s="7"/>
      <c r="CC13" s="4"/>
      <c r="CD13" s="7"/>
      <c r="CE13" s="4"/>
      <c r="CF13" s="7"/>
      <c r="CG13" s="4"/>
      <c r="CH13" s="7"/>
      <c r="CI13" s="4"/>
      <c r="CJ13" s="7"/>
      <c r="CK13" s="4"/>
      <c r="CL13" s="7"/>
      <c r="CM13" s="4"/>
      <c r="CN13" s="7"/>
      <c r="CO13" s="4"/>
      <c r="CP13" s="7"/>
      <c r="CQ13" s="4"/>
      <c r="CR13" s="7"/>
      <c r="CS13" s="4"/>
      <c r="CT13" s="7"/>
      <c r="CU13" s="4"/>
      <c r="CV13" s="7"/>
      <c r="CW13" s="4"/>
      <c r="CX13" s="7"/>
      <c r="CY13" s="4"/>
      <c r="CZ13" s="7"/>
      <c r="DA13" s="4"/>
      <c r="DB13" s="7"/>
      <c r="DC13" s="4"/>
      <c r="DD13" s="7"/>
      <c r="DE13" s="4"/>
      <c r="DF13" s="7"/>
      <c r="DG13" s="4"/>
      <c r="DH13" s="7"/>
      <c r="DI13" s="4"/>
      <c r="DJ13" s="7"/>
      <c r="DK13" s="4"/>
      <c r="DL13" s="7"/>
    </row>
    <row r="14" spans="1:116" ht="15" thickBot="1" x14ac:dyDescent="0.35">
      <c r="A14" s="2" t="s">
        <v>78</v>
      </c>
      <c r="B14" s="3" t="s">
        <v>79</v>
      </c>
      <c r="C14" s="3" t="s">
        <v>175</v>
      </c>
      <c r="D14" s="3" t="s">
        <v>122</v>
      </c>
      <c r="E14" s="3" t="s">
        <v>175</v>
      </c>
      <c r="F14" s="3" t="s">
        <v>122</v>
      </c>
      <c r="G14" s="3"/>
      <c r="H14" s="6">
        <f>SUMIF('Sunglasses BOM'!C12:C89,A14,'Sunglasses BOM'!E12:E89)</f>
        <v>8400</v>
      </c>
      <c r="I14" s="32" cm="1">
        <f t="array" ref="I14">SUMPRODUCT((MOD(COLUMN($P14:$FU14)-COLUMN($P14),2)=0)*($P14:$FU14))</f>
        <v>0</v>
      </c>
      <c r="J14" s="10">
        <f t="shared" si="49"/>
        <v>8400</v>
      </c>
      <c r="K14" s="42">
        <f>'Final Processes daily output'!$F$21</f>
        <v>31680</v>
      </c>
      <c r="L14" s="22">
        <f>_xlfn.XLOOKUP(A14,'Screwing PP DPR'!$A$4:$A$27,'Screwing PP DPR'!$I$4:$I$27)</f>
        <v>0</v>
      </c>
      <c r="M14" s="23">
        <f t="shared" si="50"/>
        <v>0</v>
      </c>
      <c r="N14" s="55">
        <f t="shared" si="51"/>
        <v>0.26515151515151514</v>
      </c>
      <c r="O14" s="4"/>
      <c r="P14" s="7"/>
      <c r="Q14" s="4"/>
      <c r="R14" s="7"/>
      <c r="S14" s="4"/>
      <c r="T14" s="7"/>
      <c r="U14" s="4"/>
      <c r="V14" s="7"/>
      <c r="W14" s="4"/>
      <c r="X14" s="7"/>
      <c r="Y14" s="4"/>
      <c r="Z14" s="7"/>
      <c r="AA14" s="4"/>
      <c r="AB14" s="7"/>
      <c r="AC14" s="4"/>
      <c r="AD14" s="7"/>
      <c r="AE14" s="4"/>
      <c r="AF14" s="7"/>
      <c r="AG14" s="4"/>
      <c r="AH14" s="7"/>
      <c r="AI14" s="4"/>
      <c r="AJ14" s="7"/>
      <c r="AK14" s="4"/>
      <c r="AL14" s="7"/>
      <c r="AM14" s="4"/>
      <c r="AN14" s="7"/>
      <c r="AO14" s="4"/>
      <c r="AP14" s="7"/>
      <c r="AQ14" s="4"/>
      <c r="AR14" s="7"/>
      <c r="AS14" s="4"/>
      <c r="AT14" s="7"/>
      <c r="AU14" s="4"/>
      <c r="AV14" s="7"/>
      <c r="AW14" s="4"/>
      <c r="AX14" s="7"/>
      <c r="AY14" s="4"/>
      <c r="AZ14" s="7"/>
      <c r="BA14" s="4"/>
      <c r="BB14" s="7"/>
      <c r="BC14" s="4"/>
      <c r="BD14" s="7"/>
      <c r="BE14" s="4"/>
      <c r="BF14" s="7"/>
      <c r="BG14" s="4"/>
      <c r="BH14" s="7"/>
      <c r="BI14" s="4"/>
      <c r="BJ14" s="7"/>
      <c r="BK14" s="4"/>
      <c r="BL14" s="7"/>
      <c r="BM14" s="4"/>
      <c r="BN14" s="7"/>
      <c r="BO14" s="4"/>
      <c r="BP14" s="7"/>
      <c r="BQ14" s="4"/>
      <c r="BR14" s="7"/>
      <c r="BS14" s="4"/>
      <c r="BT14" s="7"/>
      <c r="BU14" s="4"/>
      <c r="BV14" s="7"/>
      <c r="BW14" s="4"/>
      <c r="BX14" s="7"/>
      <c r="BY14" s="4"/>
      <c r="BZ14" s="7"/>
      <c r="CA14" s="4"/>
      <c r="CB14" s="7"/>
      <c r="CC14" s="4"/>
      <c r="CD14" s="7"/>
      <c r="CE14" s="4"/>
      <c r="CF14" s="7"/>
      <c r="CG14" s="4"/>
      <c r="CH14" s="7"/>
      <c r="CI14" s="4"/>
      <c r="CJ14" s="7"/>
      <c r="CK14" s="4"/>
      <c r="CL14" s="7"/>
      <c r="CM14" s="4"/>
      <c r="CN14" s="7"/>
      <c r="CO14" s="4"/>
      <c r="CP14" s="7"/>
      <c r="CQ14" s="4"/>
      <c r="CR14" s="7"/>
      <c r="CS14" s="4"/>
      <c r="CT14" s="7"/>
      <c r="CU14" s="4"/>
      <c r="CV14" s="7"/>
      <c r="CW14" s="4"/>
      <c r="CX14" s="7"/>
      <c r="CY14" s="4"/>
      <c r="CZ14" s="7"/>
      <c r="DA14" s="4"/>
      <c r="DB14" s="7"/>
      <c r="DC14" s="4"/>
      <c r="DD14" s="7"/>
      <c r="DE14" s="4"/>
      <c r="DF14" s="7"/>
      <c r="DG14" s="4"/>
      <c r="DH14" s="7"/>
      <c r="DI14" s="4"/>
      <c r="DJ14" s="7"/>
      <c r="DK14" s="4"/>
      <c r="DL14" s="7"/>
    </row>
    <row r="15" spans="1:116" ht="15" thickBot="1" x14ac:dyDescent="0.35">
      <c r="A15" s="2" t="s">
        <v>80</v>
      </c>
      <c r="B15" s="3" t="s">
        <v>81</v>
      </c>
      <c r="C15" s="3" t="s">
        <v>176</v>
      </c>
      <c r="D15" s="3" t="s">
        <v>115</v>
      </c>
      <c r="E15" s="3" t="s">
        <v>176</v>
      </c>
      <c r="F15" s="3" t="s">
        <v>115</v>
      </c>
      <c r="G15" s="3" t="s">
        <v>119</v>
      </c>
      <c r="H15" s="6">
        <f>SUMIF('Sunglasses BOM'!C13:C90,A15,'Sunglasses BOM'!E13:E90)</f>
        <v>16800</v>
      </c>
      <c r="I15" s="32" cm="1">
        <f t="array" ref="I15">SUMPRODUCT((MOD(COLUMN($P15:$FU15)-COLUMN($P15),2)=0)*($P15:$FU15))</f>
        <v>0</v>
      </c>
      <c r="J15" s="10">
        <f t="shared" si="49"/>
        <v>16800</v>
      </c>
      <c r="K15" s="42">
        <f>'Final Processes daily output'!$F$21</f>
        <v>31680</v>
      </c>
      <c r="L15" s="22">
        <f>_xlfn.XLOOKUP(A15,'Screwing PP DPR'!$A$4:$A$27,'Screwing PP DPR'!$I$4:$I$27)</f>
        <v>0</v>
      </c>
      <c r="M15" s="23">
        <f t="shared" si="50"/>
        <v>0</v>
      </c>
      <c r="N15" s="55">
        <f t="shared" si="51"/>
        <v>0.53030303030303028</v>
      </c>
      <c r="O15" s="4"/>
      <c r="P15" s="7"/>
      <c r="Q15" s="4"/>
      <c r="R15" s="7"/>
      <c r="S15" s="4"/>
      <c r="T15" s="7"/>
      <c r="U15" s="4"/>
      <c r="V15" s="7"/>
      <c r="W15" s="4"/>
      <c r="X15" s="7"/>
      <c r="Y15" s="4"/>
      <c r="Z15" s="7"/>
      <c r="AA15" s="4"/>
      <c r="AB15" s="7"/>
      <c r="AC15" s="4"/>
      <c r="AD15" s="7"/>
      <c r="AE15" s="4"/>
      <c r="AF15" s="7"/>
      <c r="AG15" s="4"/>
      <c r="AH15" s="7"/>
      <c r="AI15" s="4"/>
      <c r="AJ15" s="7"/>
      <c r="AK15" s="4"/>
      <c r="AL15" s="7"/>
      <c r="AM15" s="4"/>
      <c r="AN15" s="7"/>
      <c r="AO15" s="4"/>
      <c r="AP15" s="7"/>
      <c r="AQ15" s="4"/>
      <c r="AR15" s="7"/>
      <c r="AS15" s="4"/>
      <c r="AT15" s="7"/>
      <c r="AU15" s="4"/>
      <c r="AV15" s="7"/>
      <c r="AW15" s="4"/>
      <c r="AX15" s="7"/>
      <c r="AY15" s="4"/>
      <c r="AZ15" s="7"/>
      <c r="BA15" s="4"/>
      <c r="BB15" s="7"/>
      <c r="BC15" s="4"/>
      <c r="BD15" s="7"/>
      <c r="BE15" s="4"/>
      <c r="BF15" s="7"/>
      <c r="BG15" s="4"/>
      <c r="BH15" s="7"/>
      <c r="BI15" s="4"/>
      <c r="BJ15" s="7"/>
      <c r="BK15" s="4"/>
      <c r="BL15" s="7"/>
      <c r="BM15" s="4"/>
      <c r="BN15" s="7"/>
      <c r="BO15" s="4"/>
      <c r="BP15" s="7"/>
      <c r="BQ15" s="4"/>
      <c r="BR15" s="7"/>
      <c r="BS15" s="4"/>
      <c r="BT15" s="7"/>
      <c r="BU15" s="4"/>
      <c r="BV15" s="7"/>
      <c r="BW15" s="4"/>
      <c r="BX15" s="7"/>
      <c r="BY15" s="4"/>
      <c r="BZ15" s="7"/>
      <c r="CA15" s="4"/>
      <c r="CB15" s="7"/>
      <c r="CC15" s="4"/>
      <c r="CD15" s="7"/>
      <c r="CE15" s="4"/>
      <c r="CF15" s="7"/>
      <c r="CG15" s="4"/>
      <c r="CH15" s="7"/>
      <c r="CI15" s="4"/>
      <c r="CJ15" s="7"/>
      <c r="CK15" s="4"/>
      <c r="CL15" s="7"/>
      <c r="CM15" s="4"/>
      <c r="CN15" s="7"/>
      <c r="CO15" s="4"/>
      <c r="CP15" s="7"/>
      <c r="CQ15" s="4"/>
      <c r="CR15" s="7"/>
      <c r="CS15" s="4"/>
      <c r="CT15" s="7"/>
      <c r="CU15" s="4"/>
      <c r="CV15" s="7"/>
      <c r="CW15" s="4"/>
      <c r="CX15" s="7"/>
      <c r="CY15" s="4"/>
      <c r="CZ15" s="7"/>
      <c r="DA15" s="4"/>
      <c r="DB15" s="7"/>
      <c r="DC15" s="4"/>
      <c r="DD15" s="7"/>
      <c r="DE15" s="4"/>
      <c r="DF15" s="7"/>
      <c r="DG15" s="4"/>
      <c r="DH15" s="7"/>
      <c r="DI15" s="4"/>
      <c r="DJ15" s="7"/>
      <c r="DK15" s="4"/>
      <c r="DL15" s="7"/>
    </row>
    <row r="16" spans="1:116" ht="15" thickBot="1" x14ac:dyDescent="0.35">
      <c r="A16" s="2" t="s">
        <v>82</v>
      </c>
      <c r="B16" s="3" t="s">
        <v>83</v>
      </c>
      <c r="C16" s="3" t="s">
        <v>176</v>
      </c>
      <c r="D16" s="3" t="s">
        <v>115</v>
      </c>
      <c r="E16" s="3" t="s">
        <v>176</v>
      </c>
      <c r="F16" s="3" t="s">
        <v>115</v>
      </c>
      <c r="G16" s="3"/>
      <c r="H16" s="6">
        <f>SUMIF('Sunglasses BOM'!C14:C91,A16,'Sunglasses BOM'!E14:E91)</f>
        <v>25200</v>
      </c>
      <c r="I16" s="32" cm="1">
        <f t="array" ref="I16">SUMPRODUCT((MOD(COLUMN($P16:$FU16)-COLUMN($P16),2)=0)*($P16:$FU16))</f>
        <v>0</v>
      </c>
      <c r="J16" s="10">
        <f t="shared" si="49"/>
        <v>25200</v>
      </c>
      <c r="K16" s="42">
        <f>'Final Processes daily output'!$F$21</f>
        <v>31680</v>
      </c>
      <c r="L16" s="22">
        <f>_xlfn.XLOOKUP(A16,'Screwing PP DPR'!$A$4:$A$27,'Screwing PP DPR'!$I$4:$I$27)</f>
        <v>0</v>
      </c>
      <c r="M16" s="23">
        <f t="shared" si="50"/>
        <v>0</v>
      </c>
      <c r="N16" s="55">
        <f t="shared" si="51"/>
        <v>0.79545454545454541</v>
      </c>
      <c r="O16" s="4"/>
      <c r="P16" s="7"/>
      <c r="Q16" s="4"/>
      <c r="R16" s="7"/>
      <c r="S16" s="4"/>
      <c r="T16" s="7"/>
      <c r="U16" s="4"/>
      <c r="V16" s="7"/>
      <c r="W16" s="4"/>
      <c r="X16" s="7"/>
      <c r="Y16" s="4"/>
      <c r="Z16" s="7"/>
      <c r="AA16" s="4"/>
      <c r="AB16" s="7"/>
      <c r="AC16" s="4"/>
      <c r="AD16" s="7"/>
      <c r="AE16" s="4"/>
      <c r="AF16" s="7"/>
      <c r="AG16" s="4"/>
      <c r="AH16" s="7"/>
      <c r="AI16" s="4"/>
      <c r="AJ16" s="7"/>
      <c r="AK16" s="4"/>
      <c r="AL16" s="7"/>
      <c r="AM16" s="4"/>
      <c r="AN16" s="7"/>
      <c r="AO16" s="4"/>
      <c r="AP16" s="7"/>
      <c r="AQ16" s="4"/>
      <c r="AR16" s="7"/>
      <c r="AS16" s="4"/>
      <c r="AT16" s="7"/>
      <c r="AU16" s="4"/>
      <c r="AV16" s="7"/>
      <c r="AW16" s="4"/>
      <c r="AX16" s="7"/>
      <c r="AY16" s="4"/>
      <c r="AZ16" s="7"/>
      <c r="BA16" s="4"/>
      <c r="BB16" s="7"/>
      <c r="BC16" s="4"/>
      <c r="BD16" s="7"/>
      <c r="BE16" s="4"/>
      <c r="BF16" s="7"/>
      <c r="BG16" s="4"/>
      <c r="BH16" s="7"/>
      <c r="BI16" s="4"/>
      <c r="BJ16" s="7"/>
      <c r="BK16" s="4"/>
      <c r="BL16" s="7"/>
      <c r="BM16" s="4"/>
      <c r="BN16" s="7"/>
      <c r="BO16" s="4"/>
      <c r="BP16" s="7"/>
      <c r="BQ16" s="4"/>
      <c r="BR16" s="7"/>
      <c r="BS16" s="4"/>
      <c r="BT16" s="7"/>
      <c r="BU16" s="4"/>
      <c r="BV16" s="7"/>
      <c r="BW16" s="4"/>
      <c r="BX16" s="7"/>
      <c r="BY16" s="4"/>
      <c r="BZ16" s="7"/>
      <c r="CA16" s="4"/>
      <c r="CB16" s="7"/>
      <c r="CC16" s="4"/>
      <c r="CD16" s="7"/>
      <c r="CE16" s="4"/>
      <c r="CF16" s="7"/>
      <c r="CG16" s="4"/>
      <c r="CH16" s="7"/>
      <c r="CI16" s="4"/>
      <c r="CJ16" s="7"/>
      <c r="CK16" s="4"/>
      <c r="CL16" s="7"/>
      <c r="CM16" s="4"/>
      <c r="CN16" s="7"/>
      <c r="CO16" s="4"/>
      <c r="CP16" s="7"/>
      <c r="CQ16" s="4"/>
      <c r="CR16" s="7"/>
      <c r="CS16" s="4"/>
      <c r="CT16" s="7"/>
      <c r="CU16" s="4"/>
      <c r="CV16" s="7"/>
      <c r="CW16" s="4"/>
      <c r="CX16" s="7"/>
      <c r="CY16" s="4"/>
      <c r="CZ16" s="7"/>
      <c r="DA16" s="4"/>
      <c r="DB16" s="7"/>
      <c r="DC16" s="4"/>
      <c r="DD16" s="7"/>
      <c r="DE16" s="4"/>
      <c r="DF16" s="7"/>
      <c r="DG16" s="4"/>
      <c r="DH16" s="7"/>
      <c r="DI16" s="4"/>
      <c r="DJ16" s="7"/>
      <c r="DK16" s="4"/>
      <c r="DL16" s="7"/>
    </row>
    <row r="17" spans="1:116" ht="15" thickBot="1" x14ac:dyDescent="0.35">
      <c r="A17" s="2" t="s">
        <v>84</v>
      </c>
      <c r="B17" s="3" t="s">
        <v>85</v>
      </c>
      <c r="C17" s="3" t="s">
        <v>177</v>
      </c>
      <c r="D17" s="3" t="s">
        <v>123</v>
      </c>
      <c r="E17" s="3" t="s">
        <v>177</v>
      </c>
      <c r="F17" s="3" t="s">
        <v>123</v>
      </c>
      <c r="G17" s="3"/>
      <c r="H17" s="6">
        <f>SUMIF('Sunglasses BOM'!C15:C92,A17,'Sunglasses BOM'!E15:E92)</f>
        <v>25200</v>
      </c>
      <c r="I17" s="32" cm="1">
        <f t="array" ref="I17">SUMPRODUCT((MOD(COLUMN($P17:$FU17)-COLUMN($P17),2)=0)*($P17:$FU17))</f>
        <v>0</v>
      </c>
      <c r="J17" s="10">
        <f t="shared" si="49"/>
        <v>25200</v>
      </c>
      <c r="K17" s="42">
        <f>'Final Processes daily output'!$F$21</f>
        <v>31680</v>
      </c>
      <c r="L17" s="22">
        <f>_xlfn.XLOOKUP(A17,'Screwing PP DPR'!$A$4:$A$27,'Screwing PP DPR'!$I$4:$I$27)</f>
        <v>0</v>
      </c>
      <c r="M17" s="23">
        <f t="shared" si="50"/>
        <v>0</v>
      </c>
      <c r="N17" s="55">
        <f t="shared" si="51"/>
        <v>0.79545454545454541</v>
      </c>
      <c r="O17" s="4"/>
      <c r="P17" s="7"/>
      <c r="Q17" s="4"/>
      <c r="R17" s="7"/>
      <c r="S17" s="4"/>
      <c r="T17" s="7"/>
      <c r="U17" s="4"/>
      <c r="V17" s="7"/>
      <c r="W17" s="4"/>
      <c r="X17" s="7"/>
      <c r="Y17" s="4"/>
      <c r="Z17" s="7"/>
      <c r="AA17" s="4"/>
      <c r="AB17" s="7"/>
      <c r="AC17" s="4"/>
      <c r="AD17" s="7"/>
      <c r="AE17" s="4"/>
      <c r="AF17" s="7"/>
      <c r="AG17" s="4"/>
      <c r="AH17" s="7"/>
      <c r="AI17" s="4"/>
      <c r="AJ17" s="7"/>
      <c r="AK17" s="4"/>
      <c r="AL17" s="7"/>
      <c r="AM17" s="4"/>
      <c r="AN17" s="7"/>
      <c r="AO17" s="4"/>
      <c r="AP17" s="7"/>
      <c r="AQ17" s="4"/>
      <c r="AR17" s="7"/>
      <c r="AS17" s="4"/>
      <c r="AT17" s="7"/>
      <c r="AU17" s="4"/>
      <c r="AV17" s="7"/>
      <c r="AW17" s="4"/>
      <c r="AX17" s="7"/>
      <c r="AY17" s="4"/>
      <c r="AZ17" s="7"/>
      <c r="BA17" s="4"/>
      <c r="BB17" s="7"/>
      <c r="BC17" s="4"/>
      <c r="BD17" s="7"/>
      <c r="BE17" s="4"/>
      <c r="BF17" s="7"/>
      <c r="BG17" s="4"/>
      <c r="BH17" s="7"/>
      <c r="BI17" s="4"/>
      <c r="BJ17" s="7"/>
      <c r="BK17" s="4"/>
      <c r="BL17" s="7"/>
      <c r="BM17" s="4"/>
      <c r="BN17" s="7"/>
      <c r="BO17" s="4"/>
      <c r="BP17" s="7"/>
      <c r="BQ17" s="4"/>
      <c r="BR17" s="7"/>
      <c r="BS17" s="4"/>
      <c r="BT17" s="7"/>
      <c r="BU17" s="4"/>
      <c r="BV17" s="7"/>
      <c r="BW17" s="4"/>
      <c r="BX17" s="7"/>
      <c r="BY17" s="4"/>
      <c r="BZ17" s="7"/>
      <c r="CA17" s="4"/>
      <c r="CB17" s="7"/>
      <c r="CC17" s="4"/>
      <c r="CD17" s="7"/>
      <c r="CE17" s="4"/>
      <c r="CF17" s="7"/>
      <c r="CG17" s="4"/>
      <c r="CH17" s="7"/>
      <c r="CI17" s="4"/>
      <c r="CJ17" s="7"/>
      <c r="CK17" s="4"/>
      <c r="CL17" s="7"/>
      <c r="CM17" s="4"/>
      <c r="CN17" s="7"/>
      <c r="CO17" s="4"/>
      <c r="CP17" s="7"/>
      <c r="CQ17" s="4"/>
      <c r="CR17" s="7"/>
      <c r="CS17" s="4"/>
      <c r="CT17" s="7"/>
      <c r="CU17" s="4"/>
      <c r="CV17" s="7"/>
      <c r="CW17" s="4"/>
      <c r="CX17" s="7"/>
      <c r="CY17" s="4"/>
      <c r="CZ17" s="7"/>
      <c r="DA17" s="4"/>
      <c r="DB17" s="7"/>
      <c r="DC17" s="4"/>
      <c r="DD17" s="7"/>
      <c r="DE17" s="4"/>
      <c r="DF17" s="7"/>
      <c r="DG17" s="4"/>
      <c r="DH17" s="7"/>
      <c r="DI17" s="4"/>
      <c r="DJ17" s="7"/>
      <c r="DK17" s="4"/>
      <c r="DL17" s="7"/>
    </row>
    <row r="18" spans="1:116" ht="15" thickBot="1" x14ac:dyDescent="0.35">
      <c r="A18" s="2" t="s">
        <v>86</v>
      </c>
      <c r="B18" s="3" t="s">
        <v>87</v>
      </c>
      <c r="C18" s="3" t="s">
        <v>113</v>
      </c>
      <c r="D18" s="3" t="s">
        <v>113</v>
      </c>
      <c r="E18" s="3" t="s">
        <v>171</v>
      </c>
      <c r="F18" s="3" t="s">
        <v>112</v>
      </c>
      <c r="G18" s="3"/>
      <c r="H18" s="6">
        <f>SUMIF('Sunglasses BOM'!C16:C93,A18,'Sunglasses BOM'!E16:E93)</f>
        <v>33600</v>
      </c>
      <c r="I18" s="32" cm="1">
        <f t="array" ref="I18">SUMPRODUCT((MOD(COLUMN($P18:$FU18)-COLUMN($P18),2)=0)*($P18:$FU18))</f>
        <v>0</v>
      </c>
      <c r="J18" s="10">
        <f t="shared" si="49"/>
        <v>33600</v>
      </c>
      <c r="K18" s="42">
        <f>'Final Processes daily output'!$F$21</f>
        <v>31680</v>
      </c>
      <c r="L18" s="22">
        <f>_xlfn.XLOOKUP(A18,'Screwing PP DPR'!$A$4:$A$27,'Screwing PP DPR'!$I$4:$I$27)</f>
        <v>0</v>
      </c>
      <c r="M18" s="23">
        <f t="shared" si="50"/>
        <v>0</v>
      </c>
      <c r="N18" s="55">
        <f t="shared" si="51"/>
        <v>1.0606060606060606</v>
      </c>
      <c r="O18" s="4"/>
      <c r="P18" s="7"/>
      <c r="Q18" s="4"/>
      <c r="R18" s="7"/>
      <c r="S18" s="4"/>
      <c r="T18" s="7"/>
      <c r="U18" s="4"/>
      <c r="V18" s="7"/>
      <c r="W18" s="4"/>
      <c r="X18" s="7"/>
      <c r="Y18" s="4"/>
      <c r="Z18" s="7"/>
      <c r="AA18" s="4"/>
      <c r="AB18" s="7"/>
      <c r="AC18" s="4"/>
      <c r="AD18" s="7"/>
      <c r="AE18" s="4"/>
      <c r="AF18" s="7"/>
      <c r="AG18" s="4"/>
      <c r="AH18" s="7"/>
      <c r="AI18" s="4"/>
      <c r="AJ18" s="7"/>
      <c r="AK18" s="4"/>
      <c r="AL18" s="7"/>
      <c r="AM18" s="4"/>
      <c r="AN18" s="7"/>
      <c r="AO18" s="4"/>
      <c r="AP18" s="7"/>
      <c r="AQ18" s="4"/>
      <c r="AR18" s="7"/>
      <c r="AS18" s="4"/>
      <c r="AT18" s="7"/>
      <c r="AU18" s="4"/>
      <c r="AV18" s="7"/>
      <c r="AW18" s="4"/>
      <c r="AX18" s="7"/>
      <c r="AY18" s="4"/>
      <c r="AZ18" s="7"/>
      <c r="BA18" s="4"/>
      <c r="BB18" s="7"/>
      <c r="BC18" s="4"/>
      <c r="BD18" s="7"/>
      <c r="BE18" s="4"/>
      <c r="BF18" s="7"/>
      <c r="BG18" s="4"/>
      <c r="BH18" s="7"/>
      <c r="BI18" s="4"/>
      <c r="BJ18" s="7"/>
      <c r="BK18" s="4"/>
      <c r="BL18" s="7"/>
      <c r="BM18" s="4"/>
      <c r="BN18" s="7"/>
      <c r="BO18" s="4"/>
      <c r="BP18" s="7"/>
      <c r="BQ18" s="4"/>
      <c r="BR18" s="7"/>
      <c r="BS18" s="4"/>
      <c r="BT18" s="7"/>
      <c r="BU18" s="4"/>
      <c r="BV18" s="7"/>
      <c r="BW18" s="4"/>
      <c r="BX18" s="7"/>
      <c r="BY18" s="4"/>
      <c r="BZ18" s="7"/>
      <c r="CA18" s="4"/>
      <c r="CB18" s="7"/>
      <c r="CC18" s="4"/>
      <c r="CD18" s="7"/>
      <c r="CE18" s="4"/>
      <c r="CF18" s="7"/>
      <c r="CG18" s="4"/>
      <c r="CH18" s="7"/>
      <c r="CI18" s="4"/>
      <c r="CJ18" s="7"/>
      <c r="CK18" s="4"/>
      <c r="CL18" s="7"/>
      <c r="CM18" s="4"/>
      <c r="CN18" s="7"/>
      <c r="CO18" s="4"/>
      <c r="CP18" s="7"/>
      <c r="CQ18" s="4"/>
      <c r="CR18" s="7"/>
      <c r="CS18" s="4"/>
      <c r="CT18" s="7"/>
      <c r="CU18" s="4"/>
      <c r="CV18" s="7"/>
      <c r="CW18" s="4"/>
      <c r="CX18" s="7"/>
      <c r="CY18" s="4"/>
      <c r="CZ18" s="7"/>
      <c r="DA18" s="4"/>
      <c r="DB18" s="7"/>
      <c r="DC18" s="4"/>
      <c r="DD18" s="7"/>
      <c r="DE18" s="4"/>
      <c r="DF18" s="7"/>
      <c r="DG18" s="4"/>
      <c r="DH18" s="7"/>
      <c r="DI18" s="4"/>
      <c r="DJ18" s="7"/>
      <c r="DK18" s="4"/>
      <c r="DL18" s="7"/>
    </row>
    <row r="19" spans="1:116" ht="15" thickBot="1" x14ac:dyDescent="0.35">
      <c r="A19" s="2" t="s">
        <v>88</v>
      </c>
      <c r="B19" s="3" t="s">
        <v>89</v>
      </c>
      <c r="C19" s="3" t="s">
        <v>113</v>
      </c>
      <c r="D19" s="3" t="s">
        <v>113</v>
      </c>
      <c r="E19" s="3" t="s">
        <v>173</v>
      </c>
      <c r="F19" s="3" t="s">
        <v>116</v>
      </c>
      <c r="G19" s="3"/>
      <c r="H19" s="6">
        <f>SUMIF('Sunglasses BOM'!C17:C94,A19,'Sunglasses BOM'!E17:E94)</f>
        <v>16800</v>
      </c>
      <c r="I19" s="32" cm="1">
        <f t="array" ref="I19">SUMPRODUCT((MOD(COLUMN($P19:$FU19)-COLUMN($P19),2)=0)*($P19:$FU19))</f>
        <v>0</v>
      </c>
      <c r="J19" s="10">
        <f t="shared" si="49"/>
        <v>16800</v>
      </c>
      <c r="K19" s="42">
        <f>'Final Processes daily output'!$F$21</f>
        <v>31680</v>
      </c>
      <c r="L19" s="22">
        <f>_xlfn.XLOOKUP(A19,'Screwing PP DPR'!$A$4:$A$27,'Screwing PP DPR'!$I$4:$I$27)</f>
        <v>0</v>
      </c>
      <c r="M19" s="23">
        <f t="shared" si="50"/>
        <v>0</v>
      </c>
      <c r="N19" s="55">
        <f t="shared" si="51"/>
        <v>0.53030303030303028</v>
      </c>
      <c r="O19" s="4"/>
      <c r="P19" s="7"/>
      <c r="Q19" s="4"/>
      <c r="R19" s="7"/>
      <c r="S19" s="4"/>
      <c r="T19" s="7"/>
      <c r="U19" s="4"/>
      <c r="V19" s="7"/>
      <c r="W19" s="4"/>
      <c r="X19" s="7"/>
      <c r="Y19" s="4"/>
      <c r="Z19" s="7"/>
      <c r="AA19" s="4"/>
      <c r="AB19" s="7"/>
      <c r="AC19" s="4"/>
      <c r="AD19" s="7"/>
      <c r="AE19" s="4"/>
      <c r="AF19" s="7"/>
      <c r="AG19" s="4"/>
      <c r="AH19" s="7"/>
      <c r="AI19" s="4"/>
      <c r="AJ19" s="7"/>
      <c r="AK19" s="4"/>
      <c r="AL19" s="7"/>
      <c r="AM19" s="4"/>
      <c r="AN19" s="7"/>
      <c r="AO19" s="4"/>
      <c r="AP19" s="7"/>
      <c r="AQ19" s="4"/>
      <c r="AR19" s="7"/>
      <c r="AS19" s="4"/>
      <c r="AT19" s="7"/>
      <c r="AU19" s="4"/>
      <c r="AV19" s="7"/>
      <c r="AW19" s="4"/>
      <c r="AX19" s="7"/>
      <c r="AY19" s="4"/>
      <c r="AZ19" s="7"/>
      <c r="BA19" s="4"/>
      <c r="BB19" s="7"/>
      <c r="BC19" s="4"/>
      <c r="BD19" s="7"/>
      <c r="BE19" s="4"/>
      <c r="BF19" s="7"/>
      <c r="BG19" s="4"/>
      <c r="BH19" s="7"/>
      <c r="BI19" s="4"/>
      <c r="BJ19" s="7"/>
      <c r="BK19" s="4"/>
      <c r="BL19" s="7"/>
      <c r="BM19" s="4"/>
      <c r="BN19" s="7"/>
      <c r="BO19" s="4"/>
      <c r="BP19" s="7"/>
      <c r="BQ19" s="4"/>
      <c r="BR19" s="7"/>
      <c r="BS19" s="4"/>
      <c r="BT19" s="7"/>
      <c r="BU19" s="4"/>
      <c r="BV19" s="7"/>
      <c r="BW19" s="4"/>
      <c r="BX19" s="7"/>
      <c r="BY19" s="4"/>
      <c r="BZ19" s="7"/>
      <c r="CA19" s="4"/>
      <c r="CB19" s="7"/>
      <c r="CC19" s="4"/>
      <c r="CD19" s="7"/>
      <c r="CE19" s="4"/>
      <c r="CF19" s="7"/>
      <c r="CG19" s="4"/>
      <c r="CH19" s="7"/>
      <c r="CI19" s="4"/>
      <c r="CJ19" s="7"/>
      <c r="CK19" s="4"/>
      <c r="CL19" s="7"/>
      <c r="CM19" s="4"/>
      <c r="CN19" s="7"/>
      <c r="CO19" s="4"/>
      <c r="CP19" s="7"/>
      <c r="CQ19" s="4"/>
      <c r="CR19" s="7"/>
      <c r="CS19" s="4"/>
      <c r="CT19" s="7"/>
      <c r="CU19" s="4"/>
      <c r="CV19" s="7"/>
      <c r="CW19" s="4"/>
      <c r="CX19" s="7"/>
      <c r="CY19" s="4"/>
      <c r="CZ19" s="7"/>
      <c r="DA19" s="4"/>
      <c r="DB19" s="7"/>
      <c r="DC19" s="4"/>
      <c r="DD19" s="7"/>
      <c r="DE19" s="4"/>
      <c r="DF19" s="7"/>
      <c r="DG19" s="4"/>
      <c r="DH19" s="7"/>
      <c r="DI19" s="4"/>
      <c r="DJ19" s="7"/>
      <c r="DK19" s="4"/>
      <c r="DL19" s="7"/>
    </row>
    <row r="20" spans="1:116" ht="15" thickBot="1" x14ac:dyDescent="0.35">
      <c r="A20" s="2" t="s">
        <v>90</v>
      </c>
      <c r="B20" s="3" t="s">
        <v>91</v>
      </c>
      <c r="C20" s="3" t="s">
        <v>159</v>
      </c>
      <c r="D20" s="3" t="s">
        <v>113</v>
      </c>
      <c r="E20" s="3" t="s">
        <v>159</v>
      </c>
      <c r="F20" s="3" t="s">
        <v>113</v>
      </c>
      <c r="G20" s="3"/>
      <c r="H20" s="6">
        <f>SUMIF('Sunglasses BOM'!C18:C95,A20,'Sunglasses BOM'!E18:E95)</f>
        <v>50400</v>
      </c>
      <c r="I20" s="32" cm="1">
        <f t="array" ref="I20">SUMPRODUCT((MOD(COLUMN($P20:$FU20)-COLUMN($P20),2)=0)*($P20:$FU20))</f>
        <v>0</v>
      </c>
      <c r="J20" s="10">
        <f t="shared" si="49"/>
        <v>50400</v>
      </c>
      <c r="K20" s="42">
        <f>'Final Processes daily output'!$F$21</f>
        <v>31680</v>
      </c>
      <c r="L20" s="22">
        <f>_xlfn.XLOOKUP(A20,'Screwing PP DPR'!$A$4:$A$27,'Screwing PP DPR'!$I$4:$I$27)</f>
        <v>0</v>
      </c>
      <c r="M20" s="23">
        <f t="shared" si="50"/>
        <v>0</v>
      </c>
      <c r="N20" s="55">
        <f t="shared" si="51"/>
        <v>1.5909090909090908</v>
      </c>
      <c r="O20" s="4"/>
      <c r="P20" s="7"/>
      <c r="Q20" s="4"/>
      <c r="R20" s="7"/>
      <c r="S20" s="4"/>
      <c r="T20" s="7"/>
      <c r="U20" s="4"/>
      <c r="V20" s="7"/>
      <c r="W20" s="4"/>
      <c r="X20" s="7"/>
      <c r="Y20" s="4"/>
      <c r="Z20" s="7"/>
      <c r="AA20" s="4"/>
      <c r="AB20" s="7"/>
      <c r="AC20" s="4"/>
      <c r="AD20" s="7"/>
      <c r="AE20" s="4"/>
      <c r="AF20" s="7"/>
      <c r="AG20" s="4"/>
      <c r="AH20" s="7"/>
      <c r="AI20" s="4"/>
      <c r="AJ20" s="7"/>
      <c r="AK20" s="4"/>
      <c r="AL20" s="7"/>
      <c r="AM20" s="4"/>
      <c r="AN20" s="7"/>
      <c r="AO20" s="4"/>
      <c r="AP20" s="7"/>
      <c r="AQ20" s="4"/>
      <c r="AR20" s="7"/>
      <c r="AS20" s="4"/>
      <c r="AT20" s="7"/>
      <c r="AU20" s="4"/>
      <c r="AV20" s="7"/>
      <c r="AW20" s="4"/>
      <c r="AX20" s="7"/>
      <c r="AY20" s="4"/>
      <c r="AZ20" s="7"/>
      <c r="BA20" s="4"/>
      <c r="BB20" s="7"/>
      <c r="BC20" s="4"/>
      <c r="BD20" s="7"/>
      <c r="BE20" s="4"/>
      <c r="BF20" s="7"/>
      <c r="BG20" s="4"/>
      <c r="BH20" s="7"/>
      <c r="BI20" s="4"/>
      <c r="BJ20" s="7"/>
      <c r="BK20" s="4"/>
      <c r="BL20" s="7"/>
      <c r="BM20" s="4"/>
      <c r="BN20" s="7"/>
      <c r="BO20" s="4"/>
      <c r="BP20" s="7"/>
      <c r="BQ20" s="4"/>
      <c r="BR20" s="7"/>
      <c r="BS20" s="4"/>
      <c r="BT20" s="7"/>
      <c r="BU20" s="4"/>
      <c r="BV20" s="7"/>
      <c r="BW20" s="4"/>
      <c r="BX20" s="7"/>
      <c r="BY20" s="4"/>
      <c r="BZ20" s="7"/>
      <c r="CA20" s="4"/>
      <c r="CB20" s="7"/>
      <c r="CC20" s="4"/>
      <c r="CD20" s="7"/>
      <c r="CE20" s="4"/>
      <c r="CF20" s="7"/>
      <c r="CG20" s="4"/>
      <c r="CH20" s="7"/>
      <c r="CI20" s="4"/>
      <c r="CJ20" s="7"/>
      <c r="CK20" s="4"/>
      <c r="CL20" s="7"/>
      <c r="CM20" s="4"/>
      <c r="CN20" s="7"/>
      <c r="CO20" s="4"/>
      <c r="CP20" s="7"/>
      <c r="CQ20" s="4"/>
      <c r="CR20" s="7"/>
      <c r="CS20" s="4"/>
      <c r="CT20" s="7"/>
      <c r="CU20" s="4"/>
      <c r="CV20" s="7"/>
      <c r="CW20" s="4"/>
      <c r="CX20" s="7"/>
      <c r="CY20" s="4"/>
      <c r="CZ20" s="7"/>
      <c r="DA20" s="4"/>
      <c r="DB20" s="7"/>
      <c r="DC20" s="4"/>
      <c r="DD20" s="7"/>
      <c r="DE20" s="4"/>
      <c r="DF20" s="7"/>
      <c r="DG20" s="4"/>
      <c r="DH20" s="7"/>
      <c r="DI20" s="4"/>
      <c r="DJ20" s="7"/>
      <c r="DK20" s="4"/>
      <c r="DL20" s="7"/>
    </row>
    <row r="21" spans="1:116" ht="15" thickBot="1" x14ac:dyDescent="0.35">
      <c r="A21" s="2" t="s">
        <v>92</v>
      </c>
      <c r="B21" s="3" t="s">
        <v>93</v>
      </c>
      <c r="C21" s="3" t="s">
        <v>159</v>
      </c>
      <c r="D21" s="3" t="s">
        <v>113</v>
      </c>
      <c r="E21" s="3" t="s">
        <v>159</v>
      </c>
      <c r="F21" s="3" t="s">
        <v>113</v>
      </c>
      <c r="G21" s="3"/>
      <c r="H21" s="6">
        <f>SUMIF('Sunglasses BOM'!C19:C96,A21,'Sunglasses BOM'!E19:E96)</f>
        <v>50400</v>
      </c>
      <c r="I21" s="32" cm="1">
        <f t="array" ref="I21">SUMPRODUCT((MOD(COLUMN($P21:$FU21)-COLUMN($P21),2)=0)*($P21:$FU21))</f>
        <v>0</v>
      </c>
      <c r="J21" s="10">
        <f t="shared" si="49"/>
        <v>50400</v>
      </c>
      <c r="K21" s="42">
        <f>'Final Processes daily output'!$F$21</f>
        <v>31680</v>
      </c>
      <c r="L21" s="22">
        <f>_xlfn.XLOOKUP(A21,'Screwing PP DPR'!$A$4:$A$27,'Screwing PP DPR'!$I$4:$I$27)</f>
        <v>0</v>
      </c>
      <c r="M21" s="23">
        <f t="shared" si="50"/>
        <v>0</v>
      </c>
      <c r="N21" s="55">
        <f t="shared" si="51"/>
        <v>1.5909090909090908</v>
      </c>
      <c r="O21" s="4"/>
      <c r="P21" s="7"/>
      <c r="Q21" s="4"/>
      <c r="R21" s="7"/>
      <c r="S21" s="4"/>
      <c r="T21" s="7"/>
      <c r="U21" s="4"/>
      <c r="V21" s="7"/>
      <c r="W21" s="4"/>
      <c r="X21" s="7"/>
      <c r="Y21" s="4"/>
      <c r="Z21" s="7"/>
      <c r="AA21" s="4"/>
      <c r="AB21" s="7"/>
      <c r="AC21" s="4"/>
      <c r="AD21" s="7"/>
      <c r="AE21" s="4"/>
      <c r="AF21" s="7"/>
      <c r="AG21" s="4"/>
      <c r="AH21" s="7"/>
      <c r="AI21" s="4"/>
      <c r="AJ21" s="7"/>
      <c r="AK21" s="4"/>
      <c r="AL21" s="7"/>
      <c r="AM21" s="4"/>
      <c r="AN21" s="7"/>
      <c r="AO21" s="4"/>
      <c r="AP21" s="7"/>
      <c r="AQ21" s="4"/>
      <c r="AR21" s="7"/>
      <c r="AS21" s="4"/>
      <c r="AT21" s="7"/>
      <c r="AU21" s="4"/>
      <c r="AV21" s="7"/>
      <c r="AW21" s="4"/>
      <c r="AX21" s="7"/>
      <c r="AY21" s="4"/>
      <c r="AZ21" s="7"/>
      <c r="BA21" s="4"/>
      <c r="BB21" s="7"/>
      <c r="BC21" s="4"/>
      <c r="BD21" s="7"/>
      <c r="BE21" s="4"/>
      <c r="BF21" s="7"/>
      <c r="BG21" s="4"/>
      <c r="BH21" s="7"/>
      <c r="BI21" s="4"/>
      <c r="BJ21" s="7"/>
      <c r="BK21" s="4"/>
      <c r="BL21" s="7"/>
      <c r="BM21" s="4"/>
      <c r="BN21" s="7"/>
      <c r="BO21" s="4"/>
      <c r="BP21" s="7"/>
      <c r="BQ21" s="4"/>
      <c r="BR21" s="7"/>
      <c r="BS21" s="4"/>
      <c r="BT21" s="7"/>
      <c r="BU21" s="4"/>
      <c r="BV21" s="7"/>
      <c r="BW21" s="4"/>
      <c r="BX21" s="7"/>
      <c r="BY21" s="4"/>
      <c r="BZ21" s="7"/>
      <c r="CA21" s="4"/>
      <c r="CB21" s="7"/>
      <c r="CC21" s="4"/>
      <c r="CD21" s="7"/>
      <c r="CE21" s="4"/>
      <c r="CF21" s="7"/>
      <c r="CG21" s="4"/>
      <c r="CH21" s="7"/>
      <c r="CI21" s="4"/>
      <c r="CJ21" s="7"/>
      <c r="CK21" s="4"/>
      <c r="CL21" s="7"/>
      <c r="CM21" s="4"/>
      <c r="CN21" s="7"/>
      <c r="CO21" s="4"/>
      <c r="CP21" s="7"/>
      <c r="CQ21" s="4"/>
      <c r="CR21" s="7"/>
      <c r="CS21" s="4"/>
      <c r="CT21" s="7"/>
      <c r="CU21" s="4"/>
      <c r="CV21" s="7"/>
      <c r="CW21" s="4"/>
      <c r="CX21" s="7"/>
      <c r="CY21" s="4"/>
      <c r="CZ21" s="7"/>
      <c r="DA21" s="4"/>
      <c r="DB21" s="7"/>
      <c r="DC21" s="4"/>
      <c r="DD21" s="7"/>
      <c r="DE21" s="4"/>
      <c r="DF21" s="7"/>
      <c r="DG21" s="4"/>
      <c r="DH21" s="7"/>
      <c r="DI21" s="4"/>
      <c r="DJ21" s="7"/>
      <c r="DK21" s="4"/>
      <c r="DL21" s="7"/>
    </row>
    <row r="22" spans="1:116" ht="15" thickBot="1" x14ac:dyDescent="0.35">
      <c r="A22" s="2" t="s">
        <v>94</v>
      </c>
      <c r="B22" s="3" t="s">
        <v>95</v>
      </c>
      <c r="C22" s="3" t="s">
        <v>159</v>
      </c>
      <c r="D22" s="3" t="s">
        <v>113</v>
      </c>
      <c r="E22" s="3" t="s">
        <v>159</v>
      </c>
      <c r="F22" s="3" t="s">
        <v>113</v>
      </c>
      <c r="G22" s="3"/>
      <c r="H22" s="6">
        <f>SUMIF('Sunglasses BOM'!C20:C97,A22,'Sunglasses BOM'!E20:E97)</f>
        <v>8400</v>
      </c>
      <c r="I22" s="32" cm="1">
        <f t="array" ref="I22">SUMPRODUCT((MOD(COLUMN($P22:$FU22)-COLUMN($P22),2)=0)*($P22:$FU22))</f>
        <v>0</v>
      </c>
      <c r="J22" s="10">
        <f t="shared" si="49"/>
        <v>8400</v>
      </c>
      <c r="K22" s="42">
        <f>'Final Processes daily output'!$F$21</f>
        <v>31680</v>
      </c>
      <c r="L22" s="22">
        <f>_xlfn.XLOOKUP(A22,'Screwing PP DPR'!$A$4:$A$27,'Screwing PP DPR'!$I$4:$I$27)</f>
        <v>0</v>
      </c>
      <c r="M22" s="23">
        <f t="shared" si="50"/>
        <v>0</v>
      </c>
      <c r="N22" s="55">
        <f t="shared" si="51"/>
        <v>0.26515151515151514</v>
      </c>
      <c r="O22" s="4"/>
      <c r="P22" s="7"/>
      <c r="Q22" s="4"/>
      <c r="R22" s="7"/>
      <c r="S22" s="4"/>
      <c r="T22" s="7"/>
      <c r="U22" s="4"/>
      <c r="V22" s="7"/>
      <c r="W22" s="4"/>
      <c r="X22" s="7"/>
      <c r="Y22" s="4"/>
      <c r="Z22" s="7"/>
      <c r="AA22" s="4"/>
      <c r="AB22" s="7"/>
      <c r="AC22" s="4"/>
      <c r="AD22" s="7"/>
      <c r="AE22" s="4"/>
      <c r="AF22" s="7"/>
      <c r="AG22" s="4"/>
      <c r="AH22" s="7"/>
      <c r="AI22" s="4"/>
      <c r="AJ22" s="7"/>
      <c r="AK22" s="4"/>
      <c r="AL22" s="7"/>
      <c r="AM22" s="4"/>
      <c r="AN22" s="7"/>
      <c r="AO22" s="4"/>
      <c r="AP22" s="7"/>
      <c r="AQ22" s="4"/>
      <c r="AR22" s="7"/>
      <c r="AS22" s="4"/>
      <c r="AT22" s="7"/>
      <c r="AU22" s="4"/>
      <c r="AV22" s="7"/>
      <c r="AW22" s="4"/>
      <c r="AX22" s="7"/>
      <c r="AY22" s="4"/>
      <c r="AZ22" s="7"/>
      <c r="BA22" s="4"/>
      <c r="BB22" s="7"/>
      <c r="BC22" s="4"/>
      <c r="BD22" s="7"/>
      <c r="BE22" s="4"/>
      <c r="BF22" s="7"/>
      <c r="BG22" s="4"/>
      <c r="BH22" s="7"/>
      <c r="BI22" s="4"/>
      <c r="BJ22" s="7"/>
      <c r="BK22" s="4"/>
      <c r="BL22" s="7"/>
      <c r="BM22" s="4"/>
      <c r="BN22" s="7"/>
      <c r="BO22" s="4"/>
      <c r="BP22" s="7"/>
      <c r="BQ22" s="4"/>
      <c r="BR22" s="7"/>
      <c r="BS22" s="4"/>
      <c r="BT22" s="7"/>
      <c r="BU22" s="4"/>
      <c r="BV22" s="7"/>
      <c r="BW22" s="4"/>
      <c r="BX22" s="7"/>
      <c r="BY22" s="4"/>
      <c r="BZ22" s="7"/>
      <c r="CA22" s="4"/>
      <c r="CB22" s="7"/>
      <c r="CC22" s="4"/>
      <c r="CD22" s="7"/>
      <c r="CE22" s="4"/>
      <c r="CF22" s="7"/>
      <c r="CG22" s="4"/>
      <c r="CH22" s="7"/>
      <c r="CI22" s="4"/>
      <c r="CJ22" s="7"/>
      <c r="CK22" s="4"/>
      <c r="CL22" s="7"/>
      <c r="CM22" s="4"/>
      <c r="CN22" s="7"/>
      <c r="CO22" s="4"/>
      <c r="CP22" s="7"/>
      <c r="CQ22" s="4"/>
      <c r="CR22" s="7"/>
      <c r="CS22" s="4"/>
      <c r="CT22" s="7"/>
      <c r="CU22" s="4"/>
      <c r="CV22" s="7"/>
      <c r="CW22" s="4"/>
      <c r="CX22" s="7"/>
      <c r="CY22" s="4"/>
      <c r="CZ22" s="7"/>
      <c r="DA22" s="4"/>
      <c r="DB22" s="7"/>
      <c r="DC22" s="4"/>
      <c r="DD22" s="7"/>
      <c r="DE22" s="4"/>
      <c r="DF22" s="7"/>
      <c r="DG22" s="4"/>
      <c r="DH22" s="7"/>
      <c r="DI22" s="4"/>
      <c r="DJ22" s="7"/>
      <c r="DK22" s="4"/>
      <c r="DL22" s="7"/>
    </row>
    <row r="23" spans="1:116" ht="15" thickBot="1" x14ac:dyDescent="0.35">
      <c r="A23" s="2" t="s">
        <v>96</v>
      </c>
      <c r="B23" s="3" t="s">
        <v>97</v>
      </c>
      <c r="C23" s="3" t="s">
        <v>159</v>
      </c>
      <c r="D23" s="3" t="s">
        <v>113</v>
      </c>
      <c r="E23" s="3" t="s">
        <v>159</v>
      </c>
      <c r="F23" s="3" t="s">
        <v>113</v>
      </c>
      <c r="G23" s="3"/>
      <c r="H23" s="6">
        <f>SUMIF('Sunglasses BOM'!C21:C98,A23,'Sunglasses BOM'!E21:E98)</f>
        <v>16800</v>
      </c>
      <c r="I23" s="32" cm="1">
        <f t="array" ref="I23">SUMPRODUCT((MOD(COLUMN($P23:$FU23)-COLUMN($P23),2)=0)*($P23:$FU23))</f>
        <v>0</v>
      </c>
      <c r="J23" s="10">
        <f t="shared" si="49"/>
        <v>16800</v>
      </c>
      <c r="K23" s="42">
        <f>'Final Processes daily output'!$F$21</f>
        <v>31680</v>
      </c>
      <c r="L23" s="22">
        <f>_xlfn.XLOOKUP(A23,'Screwing PP DPR'!$A$4:$A$27,'Screwing PP DPR'!$I$4:$I$27)</f>
        <v>0</v>
      </c>
      <c r="M23" s="23">
        <f t="shared" si="50"/>
        <v>0</v>
      </c>
      <c r="N23" s="55">
        <f t="shared" si="51"/>
        <v>0.53030303030303028</v>
      </c>
      <c r="O23" s="4"/>
      <c r="P23" s="7"/>
      <c r="Q23" s="4"/>
      <c r="R23" s="7"/>
      <c r="S23" s="4"/>
      <c r="T23" s="7"/>
      <c r="U23" s="4"/>
      <c r="V23" s="7"/>
      <c r="W23" s="4"/>
      <c r="X23" s="7"/>
      <c r="Y23" s="4"/>
      <c r="Z23" s="7"/>
      <c r="AA23" s="4"/>
      <c r="AB23" s="7"/>
      <c r="AC23" s="4"/>
      <c r="AD23" s="7"/>
      <c r="AE23" s="4"/>
      <c r="AF23" s="7"/>
      <c r="AG23" s="4"/>
      <c r="AH23" s="7"/>
      <c r="AI23" s="4"/>
      <c r="AJ23" s="7"/>
      <c r="AK23" s="4"/>
      <c r="AL23" s="7"/>
      <c r="AM23" s="4"/>
      <c r="AN23" s="7"/>
      <c r="AO23" s="4"/>
      <c r="AP23" s="7"/>
      <c r="AQ23" s="4"/>
      <c r="AR23" s="7"/>
      <c r="AS23" s="4"/>
      <c r="AT23" s="7"/>
      <c r="AU23" s="4"/>
      <c r="AV23" s="7"/>
      <c r="AW23" s="4"/>
      <c r="AX23" s="7"/>
      <c r="AY23" s="4"/>
      <c r="AZ23" s="7"/>
      <c r="BA23" s="4"/>
      <c r="BB23" s="7"/>
      <c r="BC23" s="4"/>
      <c r="BD23" s="7"/>
      <c r="BE23" s="4"/>
      <c r="BF23" s="7"/>
      <c r="BG23" s="4"/>
      <c r="BH23" s="7"/>
      <c r="BI23" s="4"/>
      <c r="BJ23" s="7"/>
      <c r="BK23" s="4"/>
      <c r="BL23" s="7"/>
      <c r="BM23" s="4"/>
      <c r="BN23" s="7"/>
      <c r="BO23" s="4"/>
      <c r="BP23" s="7"/>
      <c r="BQ23" s="4"/>
      <c r="BR23" s="7"/>
      <c r="BS23" s="4"/>
      <c r="BT23" s="7"/>
      <c r="BU23" s="4"/>
      <c r="BV23" s="7"/>
      <c r="BW23" s="4"/>
      <c r="BX23" s="7"/>
      <c r="BY23" s="4"/>
      <c r="BZ23" s="7"/>
      <c r="CA23" s="4"/>
      <c r="CB23" s="7"/>
      <c r="CC23" s="4"/>
      <c r="CD23" s="7"/>
      <c r="CE23" s="4"/>
      <c r="CF23" s="7"/>
      <c r="CG23" s="4"/>
      <c r="CH23" s="7"/>
      <c r="CI23" s="4"/>
      <c r="CJ23" s="7"/>
      <c r="CK23" s="4"/>
      <c r="CL23" s="7"/>
      <c r="CM23" s="4"/>
      <c r="CN23" s="7"/>
      <c r="CO23" s="4"/>
      <c r="CP23" s="7"/>
      <c r="CQ23" s="4"/>
      <c r="CR23" s="7"/>
      <c r="CS23" s="4"/>
      <c r="CT23" s="7"/>
      <c r="CU23" s="4"/>
      <c r="CV23" s="7"/>
      <c r="CW23" s="4"/>
      <c r="CX23" s="7"/>
      <c r="CY23" s="4"/>
      <c r="CZ23" s="7"/>
      <c r="DA23" s="4"/>
      <c r="DB23" s="7"/>
      <c r="DC23" s="4"/>
      <c r="DD23" s="7"/>
      <c r="DE23" s="4"/>
      <c r="DF23" s="7"/>
      <c r="DG23" s="4"/>
      <c r="DH23" s="7"/>
      <c r="DI23" s="4"/>
      <c r="DJ23" s="7"/>
      <c r="DK23" s="4"/>
      <c r="DL23" s="7"/>
    </row>
    <row r="24" spans="1:116" ht="15" thickBot="1" x14ac:dyDescent="0.35">
      <c r="A24" s="2" t="s">
        <v>98</v>
      </c>
      <c r="B24" s="3" t="s">
        <v>99</v>
      </c>
      <c r="C24" s="3" t="s">
        <v>170</v>
      </c>
      <c r="D24" s="3" t="s">
        <v>111</v>
      </c>
      <c r="E24" s="3" t="s">
        <v>171</v>
      </c>
      <c r="F24" s="3" t="s">
        <v>112</v>
      </c>
      <c r="G24" s="3"/>
      <c r="H24" s="6">
        <f>SUMIF('Sunglasses BOM'!C22:C99,A24,'Sunglasses BOM'!E22:E99)</f>
        <v>25200</v>
      </c>
      <c r="I24" s="32" cm="1">
        <f t="array" ref="I24">SUMPRODUCT((MOD(COLUMN($P24:$FU24)-COLUMN($P24),2)=0)*($P24:$FU24))</f>
        <v>0</v>
      </c>
      <c r="J24" s="10">
        <f t="shared" si="49"/>
        <v>25200</v>
      </c>
      <c r="K24" s="42">
        <f>'Final Processes daily output'!$F$21</f>
        <v>31680</v>
      </c>
      <c r="L24" s="22">
        <f>_xlfn.XLOOKUP(A24,'Screwing PP DPR'!$A$4:$A$27,'Screwing PP DPR'!$I$4:$I$27)</f>
        <v>0</v>
      </c>
      <c r="M24" s="23">
        <f t="shared" si="50"/>
        <v>0</v>
      </c>
      <c r="N24" s="55">
        <f t="shared" si="51"/>
        <v>0.79545454545454541</v>
      </c>
      <c r="O24" s="4"/>
      <c r="P24" s="7"/>
      <c r="Q24" s="4"/>
      <c r="R24" s="7"/>
      <c r="S24" s="4"/>
      <c r="T24" s="7"/>
      <c r="U24" s="4"/>
      <c r="V24" s="7"/>
      <c r="W24" s="4"/>
      <c r="X24" s="7"/>
      <c r="Y24" s="4"/>
      <c r="Z24" s="7"/>
      <c r="AA24" s="4"/>
      <c r="AB24" s="7"/>
      <c r="AC24" s="4"/>
      <c r="AD24" s="7"/>
      <c r="AE24" s="4"/>
      <c r="AF24" s="7"/>
      <c r="AG24" s="4"/>
      <c r="AH24" s="7"/>
      <c r="AI24" s="4"/>
      <c r="AJ24" s="7"/>
      <c r="AK24" s="4"/>
      <c r="AL24" s="7"/>
      <c r="AM24" s="4"/>
      <c r="AN24" s="7"/>
      <c r="AO24" s="4"/>
      <c r="AP24" s="7"/>
      <c r="AQ24" s="4"/>
      <c r="AR24" s="7"/>
      <c r="AS24" s="4"/>
      <c r="AT24" s="7"/>
      <c r="AU24" s="4"/>
      <c r="AV24" s="7"/>
      <c r="AW24" s="4"/>
      <c r="AX24" s="7"/>
      <c r="AY24" s="4"/>
      <c r="AZ24" s="7"/>
      <c r="BA24" s="4"/>
      <c r="BB24" s="7"/>
      <c r="BC24" s="4"/>
      <c r="BD24" s="7"/>
      <c r="BE24" s="4"/>
      <c r="BF24" s="7"/>
      <c r="BG24" s="4"/>
      <c r="BH24" s="7"/>
      <c r="BI24" s="4"/>
      <c r="BJ24" s="7"/>
      <c r="BK24" s="4"/>
      <c r="BL24" s="7"/>
      <c r="BM24" s="4"/>
      <c r="BN24" s="7"/>
      <c r="BO24" s="4"/>
      <c r="BP24" s="7"/>
      <c r="BQ24" s="4"/>
      <c r="BR24" s="7"/>
      <c r="BS24" s="4"/>
      <c r="BT24" s="7"/>
      <c r="BU24" s="4"/>
      <c r="BV24" s="7"/>
      <c r="BW24" s="4"/>
      <c r="BX24" s="7"/>
      <c r="BY24" s="4"/>
      <c r="BZ24" s="7"/>
      <c r="CA24" s="4"/>
      <c r="CB24" s="7"/>
      <c r="CC24" s="4"/>
      <c r="CD24" s="7"/>
      <c r="CE24" s="4"/>
      <c r="CF24" s="7"/>
      <c r="CG24" s="4"/>
      <c r="CH24" s="7"/>
      <c r="CI24" s="4"/>
      <c r="CJ24" s="7"/>
      <c r="CK24" s="4"/>
      <c r="CL24" s="7"/>
      <c r="CM24" s="4"/>
      <c r="CN24" s="7"/>
      <c r="CO24" s="4"/>
      <c r="CP24" s="7"/>
      <c r="CQ24" s="4"/>
      <c r="CR24" s="7"/>
      <c r="CS24" s="4"/>
      <c r="CT24" s="7"/>
      <c r="CU24" s="4"/>
      <c r="CV24" s="7"/>
      <c r="CW24" s="4"/>
      <c r="CX24" s="7"/>
      <c r="CY24" s="4"/>
      <c r="CZ24" s="7"/>
      <c r="DA24" s="4"/>
      <c r="DB24" s="7"/>
      <c r="DC24" s="4"/>
      <c r="DD24" s="7"/>
      <c r="DE24" s="4"/>
      <c r="DF24" s="7"/>
      <c r="DG24" s="4"/>
      <c r="DH24" s="7"/>
      <c r="DI24" s="4"/>
      <c r="DJ24" s="7"/>
      <c r="DK24" s="4"/>
      <c r="DL24" s="7"/>
    </row>
    <row r="25" spans="1:116" ht="15" thickBot="1" x14ac:dyDescent="0.35">
      <c r="A25" s="2" t="s">
        <v>100</v>
      </c>
      <c r="B25" s="3" t="s">
        <v>101</v>
      </c>
      <c r="C25" s="3" t="s">
        <v>170</v>
      </c>
      <c r="D25" s="3" t="s">
        <v>111</v>
      </c>
      <c r="E25" s="3" t="s">
        <v>176</v>
      </c>
      <c r="F25" s="3" t="s">
        <v>115</v>
      </c>
      <c r="G25" s="3"/>
      <c r="H25" s="6">
        <f>SUMIF('Sunglasses BOM'!C23:C100,A25,'Sunglasses BOM'!E23:E100)</f>
        <v>8400</v>
      </c>
      <c r="I25" s="32" cm="1">
        <f t="array" ref="I25">SUMPRODUCT((MOD(COLUMN($P25:$FU25)-COLUMN($P25),2)=0)*($P25:$FU25))</f>
        <v>0</v>
      </c>
      <c r="J25" s="10">
        <f t="shared" si="49"/>
        <v>8400</v>
      </c>
      <c r="K25" s="42">
        <f>'Final Processes daily output'!$F$21</f>
        <v>31680</v>
      </c>
      <c r="L25" s="22">
        <f>_xlfn.XLOOKUP(A25,'Screwing PP DPR'!$A$4:$A$27,'Screwing PP DPR'!$I$4:$I$27)</f>
        <v>0</v>
      </c>
      <c r="M25" s="23">
        <f t="shared" si="50"/>
        <v>0</v>
      </c>
      <c r="N25" s="55">
        <f t="shared" si="51"/>
        <v>0.26515151515151514</v>
      </c>
      <c r="O25" s="4"/>
      <c r="P25" s="7"/>
      <c r="Q25" s="4"/>
      <c r="R25" s="7"/>
      <c r="S25" s="4"/>
      <c r="T25" s="7"/>
      <c r="U25" s="4"/>
      <c r="V25" s="7"/>
      <c r="W25" s="4"/>
      <c r="X25" s="7"/>
      <c r="Y25" s="4"/>
      <c r="Z25" s="7"/>
      <c r="AA25" s="4"/>
      <c r="AB25" s="7"/>
      <c r="AC25" s="4"/>
      <c r="AD25" s="7"/>
      <c r="AE25" s="4"/>
      <c r="AF25" s="7"/>
      <c r="AG25" s="4"/>
      <c r="AH25" s="7"/>
      <c r="AI25" s="4"/>
      <c r="AJ25" s="7"/>
      <c r="AK25" s="4"/>
      <c r="AL25" s="7"/>
      <c r="AM25" s="4"/>
      <c r="AN25" s="7"/>
      <c r="AO25" s="4"/>
      <c r="AP25" s="7"/>
      <c r="AQ25" s="4"/>
      <c r="AR25" s="7"/>
      <c r="AS25" s="4"/>
      <c r="AT25" s="7"/>
      <c r="AU25" s="4"/>
      <c r="AV25" s="7"/>
      <c r="AW25" s="4"/>
      <c r="AX25" s="7"/>
      <c r="AY25" s="4"/>
      <c r="AZ25" s="7"/>
      <c r="BA25" s="4"/>
      <c r="BB25" s="7"/>
      <c r="BC25" s="4"/>
      <c r="BD25" s="7"/>
      <c r="BE25" s="4"/>
      <c r="BF25" s="7"/>
      <c r="BG25" s="4"/>
      <c r="BH25" s="7"/>
      <c r="BI25" s="4"/>
      <c r="BJ25" s="7"/>
      <c r="BK25" s="4"/>
      <c r="BL25" s="7"/>
      <c r="BM25" s="4"/>
      <c r="BN25" s="7"/>
      <c r="BO25" s="4"/>
      <c r="BP25" s="7"/>
      <c r="BQ25" s="4"/>
      <c r="BR25" s="7"/>
      <c r="BS25" s="4"/>
      <c r="BT25" s="7"/>
      <c r="BU25" s="4"/>
      <c r="BV25" s="7"/>
      <c r="BW25" s="4"/>
      <c r="BX25" s="7"/>
      <c r="BY25" s="4"/>
      <c r="BZ25" s="7"/>
      <c r="CA25" s="4"/>
      <c r="CB25" s="7"/>
      <c r="CC25" s="4"/>
      <c r="CD25" s="7"/>
      <c r="CE25" s="4"/>
      <c r="CF25" s="7"/>
      <c r="CG25" s="4"/>
      <c r="CH25" s="7"/>
      <c r="CI25" s="4"/>
      <c r="CJ25" s="7"/>
      <c r="CK25" s="4"/>
      <c r="CL25" s="7"/>
      <c r="CM25" s="4"/>
      <c r="CN25" s="7"/>
      <c r="CO25" s="4"/>
      <c r="CP25" s="7"/>
      <c r="CQ25" s="4"/>
      <c r="CR25" s="7"/>
      <c r="CS25" s="4"/>
      <c r="CT25" s="7"/>
      <c r="CU25" s="4"/>
      <c r="CV25" s="7"/>
      <c r="CW25" s="4"/>
      <c r="CX25" s="7"/>
      <c r="CY25" s="4"/>
      <c r="CZ25" s="7"/>
      <c r="DA25" s="4"/>
      <c r="DB25" s="7"/>
      <c r="DC25" s="4"/>
      <c r="DD25" s="7"/>
      <c r="DE25" s="4"/>
      <c r="DF25" s="7"/>
      <c r="DG25" s="4"/>
      <c r="DH25" s="7"/>
      <c r="DI25" s="4"/>
      <c r="DJ25" s="7"/>
      <c r="DK25" s="4"/>
      <c r="DL25" s="7"/>
    </row>
    <row r="26" spans="1:116" ht="15" thickBot="1" x14ac:dyDescent="0.35">
      <c r="A26" s="2" t="s">
        <v>102</v>
      </c>
      <c r="B26" s="3" t="s">
        <v>103</v>
      </c>
      <c r="C26" s="3" t="s">
        <v>178</v>
      </c>
      <c r="D26" s="3" t="s">
        <v>112</v>
      </c>
      <c r="E26" s="3" t="s">
        <v>170</v>
      </c>
      <c r="F26" s="3" t="s">
        <v>111</v>
      </c>
      <c r="G26" s="3"/>
      <c r="H26" s="6">
        <f>SUMIF('Sunglasses BOM'!C24:C101,A26,'Sunglasses BOM'!E24:E101)</f>
        <v>8400</v>
      </c>
      <c r="I26" s="32" cm="1">
        <f t="array" ref="I26">SUMPRODUCT((MOD(COLUMN($P26:$FU26)-COLUMN($P26),2)=0)*($P26:$FU26))</f>
        <v>0</v>
      </c>
      <c r="J26" s="10">
        <f t="shared" si="49"/>
        <v>8400</v>
      </c>
      <c r="K26" s="42">
        <f>'Final Processes daily output'!$F$21</f>
        <v>31680</v>
      </c>
      <c r="L26" s="22">
        <f>_xlfn.XLOOKUP(A26,'Screwing PP DPR'!$A$4:$A$27,'Screwing PP DPR'!$I$4:$I$27)</f>
        <v>0</v>
      </c>
      <c r="M26" s="23">
        <f t="shared" si="50"/>
        <v>0</v>
      </c>
      <c r="N26" s="55">
        <f t="shared" si="51"/>
        <v>0.26515151515151514</v>
      </c>
      <c r="O26" s="4"/>
      <c r="P26" s="7"/>
      <c r="Q26" s="4"/>
      <c r="R26" s="7"/>
      <c r="S26" s="4"/>
      <c r="T26" s="7"/>
      <c r="U26" s="4"/>
      <c r="V26" s="7"/>
      <c r="W26" s="4"/>
      <c r="X26" s="7"/>
      <c r="Y26" s="4"/>
      <c r="Z26" s="7"/>
      <c r="AA26" s="4"/>
      <c r="AB26" s="7"/>
      <c r="AC26" s="4"/>
      <c r="AD26" s="7"/>
      <c r="AE26" s="4"/>
      <c r="AF26" s="7"/>
      <c r="AG26" s="4"/>
      <c r="AH26" s="7"/>
      <c r="AI26" s="4"/>
      <c r="AJ26" s="7"/>
      <c r="AK26" s="4"/>
      <c r="AL26" s="7"/>
      <c r="AM26" s="4"/>
      <c r="AN26" s="7"/>
      <c r="AO26" s="4"/>
      <c r="AP26" s="7"/>
      <c r="AQ26" s="4"/>
      <c r="AR26" s="7"/>
      <c r="AS26" s="4"/>
      <c r="AT26" s="7"/>
      <c r="AU26" s="4"/>
      <c r="AV26" s="7"/>
      <c r="AW26" s="4"/>
      <c r="AX26" s="7"/>
      <c r="AY26" s="4"/>
      <c r="AZ26" s="7"/>
      <c r="BA26" s="4"/>
      <c r="BB26" s="7"/>
      <c r="BC26" s="4"/>
      <c r="BD26" s="7"/>
      <c r="BE26" s="4"/>
      <c r="BF26" s="7"/>
      <c r="BG26" s="4"/>
      <c r="BH26" s="7"/>
      <c r="BI26" s="4"/>
      <c r="BJ26" s="7"/>
      <c r="BK26" s="4"/>
      <c r="BL26" s="7"/>
      <c r="BM26" s="4"/>
      <c r="BN26" s="7"/>
      <c r="BO26" s="4"/>
      <c r="BP26" s="7"/>
      <c r="BQ26" s="4"/>
      <c r="BR26" s="7"/>
      <c r="BS26" s="4"/>
      <c r="BT26" s="7"/>
      <c r="BU26" s="4"/>
      <c r="BV26" s="7"/>
      <c r="BW26" s="4"/>
      <c r="BX26" s="7"/>
      <c r="BY26" s="4"/>
      <c r="BZ26" s="7"/>
      <c r="CA26" s="4"/>
      <c r="CB26" s="7"/>
      <c r="CC26" s="4"/>
      <c r="CD26" s="7"/>
      <c r="CE26" s="4"/>
      <c r="CF26" s="7"/>
      <c r="CG26" s="4"/>
      <c r="CH26" s="7"/>
      <c r="CI26" s="4"/>
      <c r="CJ26" s="7"/>
      <c r="CK26" s="4"/>
      <c r="CL26" s="7"/>
      <c r="CM26" s="4"/>
      <c r="CN26" s="7"/>
      <c r="CO26" s="4"/>
      <c r="CP26" s="7"/>
      <c r="CQ26" s="4"/>
      <c r="CR26" s="7"/>
      <c r="CS26" s="4"/>
      <c r="CT26" s="7"/>
      <c r="CU26" s="4"/>
      <c r="CV26" s="7"/>
      <c r="CW26" s="4"/>
      <c r="CX26" s="7"/>
      <c r="CY26" s="4"/>
      <c r="CZ26" s="7"/>
      <c r="DA26" s="4"/>
      <c r="DB26" s="7"/>
      <c r="DC26" s="4"/>
      <c r="DD26" s="7"/>
      <c r="DE26" s="4"/>
      <c r="DF26" s="7"/>
      <c r="DG26" s="4"/>
      <c r="DH26" s="7"/>
      <c r="DI26" s="4"/>
      <c r="DJ26" s="7"/>
      <c r="DK26" s="4"/>
      <c r="DL26" s="7"/>
    </row>
    <row r="27" spans="1:116" ht="15" thickBot="1" x14ac:dyDescent="0.35">
      <c r="A27" s="4" t="s">
        <v>104</v>
      </c>
      <c r="B27" s="5" t="s">
        <v>105</v>
      </c>
      <c r="C27" s="5" t="s">
        <v>176</v>
      </c>
      <c r="D27" s="5" t="s">
        <v>115</v>
      </c>
      <c r="E27" s="5" t="s">
        <v>170</v>
      </c>
      <c r="F27" s="5" t="s">
        <v>111</v>
      </c>
      <c r="G27" s="5"/>
      <c r="H27" s="6">
        <f>SUMIF('Sunglasses BOM'!C25:C102,A27,'Sunglasses BOM'!E25:E102)</f>
        <v>8400</v>
      </c>
      <c r="I27" s="32" cm="1">
        <f t="array" ref="I27">SUMPRODUCT((MOD(COLUMN($P27:$FU27)-COLUMN($P27),2)=0)*($P27:$FU27))</f>
        <v>0</v>
      </c>
      <c r="J27" s="10">
        <f t="shared" si="49"/>
        <v>8400</v>
      </c>
      <c r="K27" s="42">
        <f>'Final Processes daily output'!$F$21</f>
        <v>31680</v>
      </c>
      <c r="L27" s="22">
        <f>_xlfn.XLOOKUP(A27,'Screwing PP DPR'!$A$4:$A$27,'Screwing PP DPR'!$I$4:$I$27)</f>
        <v>0</v>
      </c>
      <c r="M27" s="23">
        <f t="shared" si="50"/>
        <v>0</v>
      </c>
      <c r="N27" s="55">
        <f t="shared" si="51"/>
        <v>0.26515151515151514</v>
      </c>
      <c r="O27" s="4"/>
      <c r="P27" s="7"/>
      <c r="Q27" s="4"/>
      <c r="R27" s="7"/>
      <c r="S27" s="4"/>
      <c r="T27" s="7"/>
      <c r="U27" s="4"/>
      <c r="V27" s="7"/>
      <c r="W27" s="4"/>
      <c r="X27" s="7"/>
      <c r="Y27" s="4"/>
      <c r="Z27" s="7"/>
      <c r="AA27" s="4"/>
      <c r="AB27" s="7"/>
      <c r="AC27" s="4"/>
      <c r="AD27" s="7"/>
      <c r="AE27" s="4"/>
      <c r="AF27" s="7"/>
      <c r="AG27" s="4"/>
      <c r="AH27" s="7"/>
      <c r="AI27" s="4"/>
      <c r="AJ27" s="7"/>
      <c r="AK27" s="4"/>
      <c r="AL27" s="7"/>
      <c r="AM27" s="4"/>
      <c r="AN27" s="7"/>
      <c r="AO27" s="4"/>
      <c r="AP27" s="7"/>
      <c r="AQ27" s="4"/>
      <c r="AR27" s="7"/>
      <c r="AS27" s="4"/>
      <c r="AT27" s="7"/>
      <c r="AU27" s="4"/>
      <c r="AV27" s="7"/>
      <c r="AW27" s="4"/>
      <c r="AX27" s="7"/>
      <c r="AY27" s="4"/>
      <c r="AZ27" s="7"/>
      <c r="BA27" s="4"/>
      <c r="BB27" s="7"/>
      <c r="BC27" s="4"/>
      <c r="BD27" s="7"/>
      <c r="BE27" s="4"/>
      <c r="BF27" s="7"/>
      <c r="BG27" s="4"/>
      <c r="BH27" s="7"/>
      <c r="BI27" s="4"/>
      <c r="BJ27" s="7"/>
      <c r="BK27" s="4"/>
      <c r="BL27" s="7"/>
      <c r="BM27" s="4"/>
      <c r="BN27" s="7"/>
      <c r="BO27" s="4"/>
      <c r="BP27" s="7"/>
      <c r="BQ27" s="4"/>
      <c r="BR27" s="7"/>
      <c r="BS27" s="4"/>
      <c r="BT27" s="7"/>
      <c r="BU27" s="4"/>
      <c r="BV27" s="7"/>
      <c r="BW27" s="4"/>
      <c r="BX27" s="7"/>
      <c r="BY27" s="4"/>
      <c r="BZ27" s="7"/>
      <c r="CA27" s="4"/>
      <c r="CB27" s="7"/>
      <c r="CC27" s="4"/>
      <c r="CD27" s="7"/>
      <c r="CE27" s="4"/>
      <c r="CF27" s="7"/>
      <c r="CG27" s="4"/>
      <c r="CH27" s="7"/>
      <c r="CI27" s="4"/>
      <c r="CJ27" s="7"/>
      <c r="CK27" s="4"/>
      <c r="CL27" s="7"/>
      <c r="CM27" s="4"/>
      <c r="CN27" s="7"/>
      <c r="CO27" s="4"/>
      <c r="CP27" s="7"/>
      <c r="CQ27" s="4"/>
      <c r="CR27" s="7"/>
      <c r="CS27" s="4"/>
      <c r="CT27" s="7"/>
      <c r="CU27" s="4"/>
      <c r="CV27" s="7"/>
      <c r="CW27" s="4"/>
      <c r="CX27" s="7"/>
      <c r="CY27" s="4"/>
      <c r="CZ27" s="7"/>
      <c r="DA27" s="4"/>
      <c r="DB27" s="7"/>
      <c r="DC27" s="4"/>
      <c r="DD27" s="7"/>
      <c r="DE27" s="4"/>
      <c r="DF27" s="7"/>
      <c r="DG27" s="4"/>
      <c r="DH27" s="7"/>
      <c r="DI27" s="4"/>
      <c r="DJ27" s="7"/>
      <c r="DK27" s="4"/>
      <c r="DL27" s="7"/>
    </row>
  </sheetData>
  <mergeCells count="102">
    <mergeCell ref="CM2:CN2"/>
    <mergeCell ref="CO2:CP2"/>
    <mergeCell ref="AG2:AH2"/>
    <mergeCell ref="AI2:AJ2"/>
    <mergeCell ref="AK2:AL2"/>
    <mergeCell ref="AM2:AN2"/>
    <mergeCell ref="AO2:AP2"/>
    <mergeCell ref="AQ2:AR2"/>
    <mergeCell ref="AS2:AT2"/>
    <mergeCell ref="DK2:DL2"/>
    <mergeCell ref="CY2:CZ2"/>
    <mergeCell ref="DA2:DB2"/>
    <mergeCell ref="DC2:DD2"/>
    <mergeCell ref="DE2:DF2"/>
    <mergeCell ref="DG2:DH2"/>
    <mergeCell ref="DI2:DJ2"/>
    <mergeCell ref="CA2:CB2"/>
    <mergeCell ref="CC2:CD2"/>
    <mergeCell ref="CE2:CF2"/>
    <mergeCell ref="CG2:CH2"/>
    <mergeCell ref="CI2:CJ2"/>
    <mergeCell ref="CK2:CL2"/>
    <mergeCell ref="CQ2:CR2"/>
    <mergeCell ref="CS2:CT2"/>
    <mergeCell ref="CU2:CV2"/>
    <mergeCell ref="CW2:CX2"/>
    <mergeCell ref="DC1:DD1"/>
    <mergeCell ref="DE1:DF1"/>
    <mergeCell ref="DG1:DH1"/>
    <mergeCell ref="DI1:DJ1"/>
    <mergeCell ref="DK1:DL1"/>
    <mergeCell ref="O2:P2"/>
    <mergeCell ref="Q2:R2"/>
    <mergeCell ref="S2:T2"/>
    <mergeCell ref="U2:V2"/>
    <mergeCell ref="W2:X2"/>
    <mergeCell ref="CK1:CL1"/>
    <mergeCell ref="CM1:CN1"/>
    <mergeCell ref="CO1:CP1"/>
    <mergeCell ref="CQ1:CR1"/>
    <mergeCell ref="CS1:CT1"/>
    <mergeCell ref="CU1:CV1"/>
    <mergeCell ref="BM1:BN1"/>
    <mergeCell ref="BO1:BP1"/>
    <mergeCell ref="BQ1:BR1"/>
    <mergeCell ref="BS1:BT1"/>
    <mergeCell ref="BU1:BV1"/>
    <mergeCell ref="BW1:BX1"/>
    <mergeCell ref="AO1:AP1"/>
    <mergeCell ref="AQ1:AR1"/>
    <mergeCell ref="AS1:AT1"/>
    <mergeCell ref="AU1:AV1"/>
    <mergeCell ref="AW1:AX1"/>
    <mergeCell ref="AY1:AZ1"/>
    <mergeCell ref="O1:P1"/>
    <mergeCell ref="Q1:R1"/>
    <mergeCell ref="S1:T1"/>
    <mergeCell ref="U1:V1"/>
    <mergeCell ref="W1:X1"/>
    <mergeCell ref="Y1:Z1"/>
    <mergeCell ref="AA1:AB1"/>
    <mergeCell ref="AC1:AD1"/>
    <mergeCell ref="BS2:BT2"/>
    <mergeCell ref="BU2:BV2"/>
    <mergeCell ref="BW2:BX2"/>
    <mergeCell ref="BY2:BZ2"/>
    <mergeCell ref="BO2:BP2"/>
    <mergeCell ref="BQ2:BR2"/>
    <mergeCell ref="AU2:AV2"/>
    <mergeCell ref="AW2:AX2"/>
    <mergeCell ref="AY2:AZ2"/>
    <mergeCell ref="BA2:BB2"/>
    <mergeCell ref="BC2:BD2"/>
    <mergeCell ref="BE2:BF2"/>
    <mergeCell ref="BG2:BH2"/>
    <mergeCell ref="BI2:BJ2"/>
    <mergeCell ref="BK2:BL2"/>
    <mergeCell ref="BM2:BN2"/>
    <mergeCell ref="Y2:Z2"/>
    <mergeCell ref="AA2:AB2"/>
    <mergeCell ref="AC2:AD2"/>
    <mergeCell ref="AE2:AF2"/>
    <mergeCell ref="CW1:CX1"/>
    <mergeCell ref="CY1:CZ1"/>
    <mergeCell ref="DA1:DB1"/>
    <mergeCell ref="CC1:CD1"/>
    <mergeCell ref="CE1:CF1"/>
    <mergeCell ref="CG1:CH1"/>
    <mergeCell ref="CI1:CJ1"/>
    <mergeCell ref="BY1:BZ1"/>
    <mergeCell ref="CA1:CB1"/>
    <mergeCell ref="BE1:BF1"/>
    <mergeCell ref="BG1:BH1"/>
    <mergeCell ref="BI1:BJ1"/>
    <mergeCell ref="BK1:BL1"/>
    <mergeCell ref="BA1:BB1"/>
    <mergeCell ref="BC1:BD1"/>
    <mergeCell ref="AG1:AH1"/>
    <mergeCell ref="AI1:AJ1"/>
    <mergeCell ref="AK1:AL1"/>
    <mergeCell ref="AM1:AN1"/>
    <mergeCell ref="AE1:AF1"/>
  </mergeCells>
  <conditionalFormatting sqref="M4:M27">
    <cfRule type="cellIs" dxfId="11" priority="1" operator="lessThan">
      <formula>0</formula>
    </cfRule>
  </conditionalFormatting>
  <conditionalFormatting sqref="O2:DL2">
    <cfRule type="expression" dxfId="10" priority="2">
      <formula>SUM(O$4:O$17)&gt;$K$4</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573C-A6DD-4F48-AB7E-05E72025F1F3}">
  <dimension ref="A1:DK26"/>
  <sheetViews>
    <sheetView workbookViewId="0">
      <selection activeCell="H4" sqref="H4"/>
    </sheetView>
  </sheetViews>
  <sheetFormatPr defaultRowHeight="14.4" x14ac:dyDescent="0.3"/>
  <cols>
    <col min="1" max="1" width="13.21875" bestFit="1" customWidth="1"/>
    <col min="2" max="2" width="27.6640625" bestFit="1" customWidth="1"/>
    <col min="3" max="3" width="13.44140625" bestFit="1" customWidth="1"/>
    <col min="4" max="4" width="11" bestFit="1" customWidth="1"/>
    <col min="5" max="5" width="7" bestFit="1" customWidth="1"/>
    <col min="6" max="6" width="8.109375" bestFit="1" customWidth="1"/>
    <col min="7" max="7" width="7.33203125" bestFit="1" customWidth="1"/>
    <col min="8" max="8" width="8" bestFit="1" customWidth="1"/>
    <col min="9" max="9" width="8.33203125" bestFit="1" customWidth="1"/>
    <col min="10" max="10" width="9.6640625" customWidth="1"/>
    <col min="11" max="12" width="8.5546875" bestFit="1" customWidth="1"/>
    <col min="13" max="13" width="8.6640625" bestFit="1" customWidth="1"/>
    <col min="14" max="14" width="7.44140625" bestFit="1" customWidth="1"/>
    <col min="15" max="15" width="6.109375" bestFit="1" customWidth="1"/>
    <col min="16" max="16" width="7.44140625" bestFit="1" customWidth="1"/>
    <col min="17" max="17" width="6.109375" bestFit="1" customWidth="1"/>
    <col min="18" max="18" width="7.44140625" bestFit="1" customWidth="1"/>
    <col min="19" max="19" width="6.109375" bestFit="1" customWidth="1"/>
    <col min="20" max="20" width="7.44140625" bestFit="1" customWidth="1"/>
    <col min="21" max="21" width="6.109375" bestFit="1" customWidth="1"/>
    <col min="22" max="22" width="7.44140625" bestFit="1" customWidth="1"/>
    <col min="23" max="23" width="6.109375" bestFit="1" customWidth="1"/>
    <col min="24" max="24" width="7.44140625" bestFit="1" customWidth="1"/>
    <col min="25" max="25" width="6.109375" bestFit="1" customWidth="1"/>
    <col min="26" max="26" width="7.44140625" bestFit="1" customWidth="1"/>
    <col min="27" max="27" width="6.109375" bestFit="1" customWidth="1"/>
    <col min="28" max="28" width="7.44140625" bestFit="1" customWidth="1"/>
    <col min="29" max="29" width="6.109375" bestFit="1" customWidth="1"/>
    <col min="30" max="30" width="7.44140625" bestFit="1" customWidth="1"/>
    <col min="31" max="31" width="6.109375" bestFit="1" customWidth="1"/>
    <col min="32" max="32" width="7.44140625" bestFit="1" customWidth="1"/>
    <col min="33" max="33" width="6.109375" bestFit="1" customWidth="1"/>
    <col min="34" max="34" width="7.44140625" bestFit="1" customWidth="1"/>
    <col min="35" max="35" width="6.109375" bestFit="1" customWidth="1"/>
    <col min="36" max="36" width="7.44140625" bestFit="1" customWidth="1"/>
    <col min="37" max="37" width="6.109375" bestFit="1" customWidth="1"/>
    <col min="38" max="38" width="7.44140625" bestFit="1" customWidth="1"/>
    <col min="39" max="39" width="6.109375" bestFit="1" customWidth="1"/>
    <col min="40" max="40" width="7.44140625" bestFit="1" customWidth="1"/>
    <col min="41" max="41" width="6.109375" bestFit="1" customWidth="1"/>
    <col min="42" max="42" width="7.44140625" bestFit="1" customWidth="1"/>
    <col min="43" max="43" width="6.109375" bestFit="1" customWidth="1"/>
    <col min="44" max="44" width="7.44140625" bestFit="1" customWidth="1"/>
    <col min="45" max="45" width="6.109375" bestFit="1" customWidth="1"/>
    <col min="46" max="46" width="7.44140625" bestFit="1" customWidth="1"/>
    <col min="47" max="47" width="6.109375" bestFit="1" customWidth="1"/>
    <col min="48" max="48" width="7.44140625" bestFit="1" customWidth="1"/>
    <col min="49" max="49" width="6.109375" bestFit="1" customWidth="1"/>
    <col min="50" max="50" width="7.44140625" bestFit="1" customWidth="1"/>
    <col min="51" max="51" width="6.109375" bestFit="1" customWidth="1"/>
    <col min="52" max="52" width="7.44140625" bestFit="1" customWidth="1"/>
    <col min="53" max="53" width="6.109375" bestFit="1" customWidth="1"/>
    <col min="54" max="54" width="7.44140625" bestFit="1" customWidth="1"/>
    <col min="55" max="55" width="6.109375" bestFit="1" customWidth="1"/>
    <col min="56" max="56" width="7.44140625" bestFit="1" customWidth="1"/>
    <col min="57" max="57" width="6.109375" bestFit="1" customWidth="1"/>
    <col min="58" max="58" width="7.44140625" bestFit="1" customWidth="1"/>
    <col min="59" max="59" width="6.109375" bestFit="1" customWidth="1"/>
    <col min="60" max="60" width="7.44140625" bestFit="1" customWidth="1"/>
    <col min="61" max="61" width="6.109375" bestFit="1" customWidth="1"/>
    <col min="62" max="62" width="7.44140625" bestFit="1" customWidth="1"/>
    <col min="63" max="63" width="6.109375" bestFit="1" customWidth="1"/>
    <col min="64" max="64" width="7.44140625" bestFit="1" customWidth="1"/>
    <col min="65" max="65" width="6.109375" bestFit="1" customWidth="1"/>
    <col min="66" max="66" width="7.44140625" bestFit="1" customWidth="1"/>
    <col min="67" max="67" width="6.109375" bestFit="1" customWidth="1"/>
    <col min="68" max="68" width="7.44140625" bestFit="1" customWidth="1"/>
    <col min="69" max="69" width="6.109375" bestFit="1" customWidth="1"/>
    <col min="70" max="70" width="7.44140625" bestFit="1" customWidth="1"/>
    <col min="71" max="71" width="6.109375" bestFit="1" customWidth="1"/>
    <col min="72" max="72" width="7.44140625" bestFit="1" customWidth="1"/>
    <col min="73" max="73" width="6.109375" bestFit="1" customWidth="1"/>
    <col min="74" max="74" width="7.44140625" bestFit="1" customWidth="1"/>
    <col min="75" max="75" width="6.109375" bestFit="1" customWidth="1"/>
    <col min="76" max="76" width="7.44140625" bestFit="1" customWidth="1"/>
    <col min="77" max="77" width="6.109375" bestFit="1" customWidth="1"/>
    <col min="78" max="78" width="7.44140625" bestFit="1" customWidth="1"/>
    <col min="79" max="79" width="6.109375" bestFit="1" customWidth="1"/>
    <col min="80" max="80" width="7.44140625" bestFit="1" customWidth="1"/>
    <col min="81" max="81" width="6.109375" bestFit="1" customWidth="1"/>
    <col min="82" max="82" width="7.44140625" bestFit="1" customWidth="1"/>
    <col min="83" max="83" width="6.109375" bestFit="1" customWidth="1"/>
    <col min="84" max="84" width="7.44140625" bestFit="1" customWidth="1"/>
    <col min="85" max="85" width="6.109375" bestFit="1" customWidth="1"/>
    <col min="86" max="86" width="7.44140625" bestFit="1" customWidth="1"/>
    <col min="87" max="87" width="6.109375" bestFit="1" customWidth="1"/>
    <col min="88" max="88" width="7.44140625" bestFit="1" customWidth="1"/>
    <col min="89" max="89" width="6.109375" bestFit="1" customWidth="1"/>
    <col min="90" max="90" width="7.44140625" bestFit="1" customWidth="1"/>
    <col min="91" max="91" width="6.109375" bestFit="1" customWidth="1"/>
    <col min="92" max="92" width="7.44140625" bestFit="1" customWidth="1"/>
    <col min="93" max="93" width="6.109375" bestFit="1" customWidth="1"/>
    <col min="94" max="94" width="7.44140625" bestFit="1" customWidth="1"/>
    <col min="95" max="95" width="6.109375" bestFit="1" customWidth="1"/>
    <col min="96" max="96" width="7.44140625" bestFit="1" customWidth="1"/>
    <col min="97" max="97" width="6.109375" bestFit="1" customWidth="1"/>
    <col min="98" max="98" width="7.44140625" bestFit="1" customWidth="1"/>
    <col min="99" max="99" width="6.109375" bestFit="1" customWidth="1"/>
    <col min="100" max="100" width="7.44140625" bestFit="1" customWidth="1"/>
    <col min="101" max="101" width="6.109375" bestFit="1" customWidth="1"/>
    <col min="102" max="102" width="7.44140625" bestFit="1" customWidth="1"/>
    <col min="103" max="103" width="6.109375" bestFit="1" customWidth="1"/>
    <col min="104" max="104" width="7.44140625" bestFit="1" customWidth="1"/>
    <col min="105" max="105" width="6.109375" bestFit="1" customWidth="1"/>
    <col min="106" max="106" width="7.44140625" bestFit="1" customWidth="1"/>
    <col min="107" max="107" width="6.109375" bestFit="1" customWidth="1"/>
    <col min="108" max="108" width="7.44140625" bestFit="1" customWidth="1"/>
    <col min="109" max="109" width="6.109375" bestFit="1" customWidth="1"/>
    <col min="110" max="110" width="7.44140625" bestFit="1" customWidth="1"/>
    <col min="111" max="111" width="6.109375" bestFit="1" customWidth="1"/>
    <col min="112" max="112" width="7.44140625" bestFit="1" customWidth="1"/>
    <col min="113" max="113" width="6.109375" bestFit="1" customWidth="1"/>
    <col min="114" max="114" width="7.44140625" bestFit="1" customWidth="1"/>
    <col min="115" max="115" width="6.109375" bestFit="1" customWidth="1"/>
  </cols>
  <sheetData>
    <row r="1" spans="1:115"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c r="DJ1" s="106" t="s">
        <v>477</v>
      </c>
      <c r="DK1" s="108"/>
    </row>
    <row r="2" spans="1:115"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c r="DJ2" s="119">
        <f t="shared" ref="DJ2" si="49">WORKDAY.INTL(DH2,1,"0000001")</f>
        <v>46027</v>
      </c>
      <c r="DK2" s="120"/>
    </row>
    <row r="3" spans="1:115" ht="72" x14ac:dyDescent="0.3">
      <c r="A3" s="38" t="s">
        <v>505</v>
      </c>
      <c r="B3" s="39" t="s">
        <v>3</v>
      </c>
      <c r="C3" s="49" t="s">
        <v>180</v>
      </c>
      <c r="D3" s="49" t="s">
        <v>503</v>
      </c>
      <c r="E3" s="40" t="s">
        <v>419</v>
      </c>
      <c r="F3" s="51" t="s">
        <v>420</v>
      </c>
      <c r="G3" s="52" t="s">
        <v>421</v>
      </c>
      <c r="H3" s="38" t="s">
        <v>423</v>
      </c>
      <c r="I3" s="39" t="s">
        <v>506</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c r="DJ3" s="30" t="s">
        <v>425</v>
      </c>
      <c r="DK3" s="31" t="s">
        <v>426</v>
      </c>
    </row>
    <row r="4" spans="1:115"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output'!$F$24</f>
        <v>30240</v>
      </c>
      <c r="I4" s="22">
        <f>_xlfn.XLOOKUP(A4,'Pad Printing DPR - ABS'!$A$4:$A$26,'Pad Printing DPR - ABS'!$F$4:$F$26)</f>
        <v>0</v>
      </c>
      <c r="J4" s="23">
        <f>I4-F4</f>
        <v>0</v>
      </c>
      <c r="K4" s="54">
        <f t="shared" ref="K4:K17" si="50">G4/H4</f>
        <v>7.2222222222222223</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c r="DJ4" s="2"/>
      <c r="DK4" s="6"/>
    </row>
    <row r="5" spans="1:115" x14ac:dyDescent="0.3">
      <c r="A5" s="2" t="s">
        <v>11</v>
      </c>
      <c r="B5" s="3" t="s">
        <v>12</v>
      </c>
      <c r="C5" s="3" t="s">
        <v>156</v>
      </c>
      <c r="D5" s="3" t="s">
        <v>131</v>
      </c>
      <c r="E5" s="6">
        <f>SUMIF('Sunglasses BOM'!$D$1:$D$79,B5,'Sunglasses BOM'!$E$1:$E$79)</f>
        <v>100800</v>
      </c>
      <c r="F5" s="32" cm="1">
        <f t="array" ref="F5">SUMPRODUCT((MOD(COLUMN($M5:$FR5)-COLUMN($M5),2)=0)*($M5:$FR5))</f>
        <v>0</v>
      </c>
      <c r="G5" s="9">
        <f t="shared" ref="G5:G26" si="51">E5-F5</f>
        <v>100800</v>
      </c>
      <c r="H5" s="42">
        <f>'Final Processes daily output'!$F$24</f>
        <v>30240</v>
      </c>
      <c r="I5" s="22">
        <f>_xlfn.XLOOKUP(A5,'Pad Printing DPR - ABS'!$A$4:$A$26,'Pad Printing DPR - ABS'!$F$4:$F$26)</f>
        <v>0</v>
      </c>
      <c r="J5" s="23">
        <f t="shared" ref="J5:J26" si="52">I5-F5</f>
        <v>0</v>
      </c>
      <c r="K5" s="54">
        <f t="shared" si="50"/>
        <v>3.3333333333333335</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c r="DJ5" s="2"/>
      <c r="DK5" s="6"/>
    </row>
    <row r="6" spans="1:115" x14ac:dyDescent="0.3">
      <c r="A6" s="2" t="s">
        <v>13</v>
      </c>
      <c r="B6" s="3" t="s">
        <v>14</v>
      </c>
      <c r="C6" s="3" t="s">
        <v>157</v>
      </c>
      <c r="D6" s="3" t="s">
        <v>116</v>
      </c>
      <c r="E6" s="6">
        <f>SUMIF('Sunglasses BOM'!$D$1:$D$79,B6,'Sunglasses BOM'!$E$1:$E$79)</f>
        <v>151200</v>
      </c>
      <c r="F6" s="32" cm="1">
        <f t="array" ref="F6">SUMPRODUCT((MOD(COLUMN($M6:$FR6)-COLUMN($M6),2)=0)*($M6:$FR6))</f>
        <v>0</v>
      </c>
      <c r="G6" s="9">
        <f t="shared" si="51"/>
        <v>151200</v>
      </c>
      <c r="H6" s="42">
        <f>'Final Processes daily output'!$F$24</f>
        <v>30240</v>
      </c>
      <c r="I6" s="22">
        <f>_xlfn.XLOOKUP(A6,'Pad Printing DPR - ABS'!$A$4:$A$26,'Pad Printing DPR - ABS'!$F$4:$F$26)</f>
        <v>0</v>
      </c>
      <c r="J6" s="23">
        <f t="shared" si="52"/>
        <v>0</v>
      </c>
      <c r="K6" s="54">
        <f t="shared" si="50"/>
        <v>5</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c r="DJ6" s="2"/>
      <c r="DK6" s="6"/>
    </row>
    <row r="7" spans="1:115" x14ac:dyDescent="0.3">
      <c r="A7" s="2" t="s">
        <v>15</v>
      </c>
      <c r="B7" s="3" t="s">
        <v>16</v>
      </c>
      <c r="C7" s="3" t="s">
        <v>158</v>
      </c>
      <c r="D7" s="3" t="s">
        <v>132</v>
      </c>
      <c r="E7" s="6">
        <f>SUMIF('Sunglasses BOM'!$D$1:$D$79,B7,'Sunglasses BOM'!$E$1:$E$79)</f>
        <v>100800</v>
      </c>
      <c r="F7" s="32" cm="1">
        <f t="array" ref="F7">SUMPRODUCT((MOD(COLUMN($M7:$FR7)-COLUMN($M7),2)=0)*($M7:$FR7))</f>
        <v>0</v>
      </c>
      <c r="G7" s="9">
        <f t="shared" si="51"/>
        <v>100800</v>
      </c>
      <c r="H7" s="42">
        <f>'Final Processes daily output'!$F$24</f>
        <v>30240</v>
      </c>
      <c r="I7" s="22">
        <f>_xlfn.XLOOKUP(A7,'Pad Printing DPR - ABS'!$A$4:$A$26,'Pad Printing DPR - ABS'!$F$4:$F$26)</f>
        <v>0</v>
      </c>
      <c r="J7" s="23">
        <f t="shared" si="52"/>
        <v>0</v>
      </c>
      <c r="K7" s="54">
        <f t="shared" si="50"/>
        <v>3.3333333333333335</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c r="DJ7" s="2"/>
      <c r="DK7" s="6"/>
    </row>
    <row r="8" spans="1:115" x14ac:dyDescent="0.3">
      <c r="A8" s="2" t="s">
        <v>17</v>
      </c>
      <c r="B8" s="3" t="s">
        <v>18</v>
      </c>
      <c r="C8" s="3" t="s">
        <v>159</v>
      </c>
      <c r="D8" s="3" t="s">
        <v>113</v>
      </c>
      <c r="E8" s="6">
        <f>SUMIF('Sunglasses BOM'!$D$1:$D$79,B8,'Sunglasses BOM'!$E$1:$E$79)</f>
        <v>134400</v>
      </c>
      <c r="F8" s="32" cm="1">
        <f t="array" ref="F8">SUMPRODUCT((MOD(COLUMN($M8:$FR8)-COLUMN($M8),2)=0)*($M8:$FR8))</f>
        <v>0</v>
      </c>
      <c r="G8" s="9">
        <f t="shared" si="51"/>
        <v>134400</v>
      </c>
      <c r="H8" s="42">
        <f>'Final Processes daily output'!$F$24</f>
        <v>30240</v>
      </c>
      <c r="I8" s="22">
        <f>_xlfn.XLOOKUP(A8,'Pad Printing DPR - ABS'!$A$4:$A$26,'Pad Printing DPR - ABS'!$F$4:$F$26)</f>
        <v>0</v>
      </c>
      <c r="J8" s="23">
        <f t="shared" si="52"/>
        <v>0</v>
      </c>
      <c r="K8" s="54">
        <f t="shared" si="50"/>
        <v>4.4444444444444446</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c r="DJ8" s="2"/>
      <c r="DK8" s="6"/>
    </row>
    <row r="9" spans="1:115" x14ac:dyDescent="0.3">
      <c r="A9" s="2" t="s">
        <v>21</v>
      </c>
      <c r="B9" s="3" t="s">
        <v>22</v>
      </c>
      <c r="C9" s="3" t="s">
        <v>160</v>
      </c>
      <c r="D9" s="3" t="s">
        <v>112</v>
      </c>
      <c r="E9" s="6">
        <f>SUMIF('Sunglasses BOM'!$D$1:$D$79,B9,'Sunglasses BOM'!$E$1:$E$79)</f>
        <v>33600</v>
      </c>
      <c r="F9" s="32" cm="1">
        <f t="array" ref="F9">SUMPRODUCT((MOD(COLUMN($M9:$FR9)-COLUMN($M9),2)=0)*($M9:$FR9))</f>
        <v>0</v>
      </c>
      <c r="G9" s="9">
        <f t="shared" si="51"/>
        <v>33600</v>
      </c>
      <c r="H9" s="42">
        <f>'Final Processes daily output'!$F$24</f>
        <v>30240</v>
      </c>
      <c r="I9" s="22">
        <f>_xlfn.XLOOKUP(A9,'Pad Printing DPR - ABS'!$A$4:$A$26,'Pad Printing DPR - ABS'!$F$4:$F$26)</f>
        <v>0</v>
      </c>
      <c r="J9" s="23">
        <f t="shared" si="52"/>
        <v>0</v>
      </c>
      <c r="K9" s="54">
        <f t="shared" si="50"/>
        <v>1.1111111111111112</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c r="DJ9" s="2"/>
      <c r="DK9" s="6"/>
    </row>
    <row r="10" spans="1:115" x14ac:dyDescent="0.3">
      <c r="A10" s="2" t="s">
        <v>23</v>
      </c>
      <c r="B10" s="3" t="s">
        <v>24</v>
      </c>
      <c r="C10" s="3" t="s">
        <v>160</v>
      </c>
      <c r="D10" s="3" t="s">
        <v>112</v>
      </c>
      <c r="E10" s="6">
        <f>SUMIF('Sunglasses BOM'!$D$1:$D$79,B10,'Sunglasses BOM'!$E$1:$E$79)</f>
        <v>16800</v>
      </c>
      <c r="F10" s="32" cm="1">
        <f t="array" ref="F10">SUMPRODUCT((MOD(COLUMN($M10:$FR10)-COLUMN($M10),2)=0)*($M10:$FR10))</f>
        <v>0</v>
      </c>
      <c r="G10" s="9">
        <f t="shared" si="51"/>
        <v>16800</v>
      </c>
      <c r="H10" s="42">
        <f>'Final Processes daily output'!$F$24</f>
        <v>30240</v>
      </c>
      <c r="I10" s="22">
        <f>_xlfn.XLOOKUP(A10,'Pad Printing DPR - ABS'!$A$4:$A$26,'Pad Printing DPR - ABS'!$F$4:$F$26)</f>
        <v>0</v>
      </c>
      <c r="J10" s="23">
        <f t="shared" si="52"/>
        <v>0</v>
      </c>
      <c r="K10" s="54">
        <f t="shared" si="50"/>
        <v>0.55555555555555558</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c r="DJ10" s="2"/>
      <c r="DK10" s="6"/>
    </row>
    <row r="11" spans="1:115"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si="51"/>
        <v>25200</v>
      </c>
      <c r="H11" s="42">
        <f>'Final Processes daily output'!$F$24</f>
        <v>30240</v>
      </c>
      <c r="I11" s="22">
        <f>_xlfn.XLOOKUP(A11,'Pad Printing DPR - ABS'!$A$4:$A$26,'Pad Printing DPR - ABS'!$F$4:$F$26)</f>
        <v>0</v>
      </c>
      <c r="J11" s="23">
        <f t="shared" si="52"/>
        <v>0</v>
      </c>
      <c r="K11" s="55">
        <f t="shared" si="50"/>
        <v>0.83333333333333337</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c r="DJ11" s="4"/>
      <c r="DK11" s="7"/>
    </row>
    <row r="12" spans="1:115"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1"/>
        <v>8400</v>
      </c>
      <c r="H12" s="42">
        <f>'Final Processes daily output'!$F$24</f>
        <v>30240</v>
      </c>
      <c r="I12" s="22">
        <f>_xlfn.XLOOKUP(A12,'Pad Printing DPR - ABS'!$A$4:$A$26,'Pad Printing DPR - ABS'!$F$4:$F$26)</f>
        <v>0</v>
      </c>
      <c r="J12" s="23">
        <f t="shared" si="52"/>
        <v>0</v>
      </c>
      <c r="K12" s="55">
        <f t="shared" si="50"/>
        <v>0.27777777777777779</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c r="DJ12" s="4"/>
      <c r="DK12" s="7"/>
    </row>
    <row r="13" spans="1:115"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1"/>
        <v>42000</v>
      </c>
      <c r="H13" s="42">
        <f>'Final Processes daily output'!$F$24</f>
        <v>30240</v>
      </c>
      <c r="I13" s="22">
        <f>_xlfn.XLOOKUP(A13,'Pad Printing DPR - ABS'!$A$4:$A$26,'Pad Printing DPR - ABS'!$F$4:$F$26)</f>
        <v>0</v>
      </c>
      <c r="J13" s="23">
        <f t="shared" si="52"/>
        <v>0</v>
      </c>
      <c r="K13" s="55">
        <f t="shared" si="50"/>
        <v>1.3888888888888888</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c r="DJ13" s="4"/>
      <c r="DK13" s="7"/>
    </row>
    <row r="14" spans="1:115"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1"/>
        <v>25200</v>
      </c>
      <c r="H14" s="42">
        <f>'Final Processes daily output'!$F$24</f>
        <v>30240</v>
      </c>
      <c r="I14" s="22">
        <f>_xlfn.XLOOKUP(A14,'Pad Printing DPR - ABS'!$A$4:$A$26,'Pad Printing DPR - ABS'!$F$4:$F$26)</f>
        <v>0</v>
      </c>
      <c r="J14" s="23">
        <f t="shared" si="52"/>
        <v>0</v>
      </c>
      <c r="K14" s="55">
        <f t="shared" si="50"/>
        <v>0.83333333333333337</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c r="DJ14" s="4"/>
      <c r="DK14" s="7"/>
    </row>
    <row r="15" spans="1:115"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1"/>
        <v>16800</v>
      </c>
      <c r="H15" s="42">
        <f>'Final Processes daily output'!$F$24</f>
        <v>30240</v>
      </c>
      <c r="I15" s="22">
        <f>_xlfn.XLOOKUP(A15,'Pad Printing DPR - ABS'!$A$4:$A$26,'Pad Printing DPR - ABS'!$F$4:$F$26)</f>
        <v>0</v>
      </c>
      <c r="J15" s="23">
        <f t="shared" si="52"/>
        <v>0</v>
      </c>
      <c r="K15" s="55">
        <f t="shared" si="50"/>
        <v>0.55555555555555558</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c r="DJ15" s="4"/>
      <c r="DK15" s="7"/>
    </row>
    <row r="16" spans="1:115"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1"/>
        <v>16800</v>
      </c>
      <c r="H16" s="42">
        <f>'Final Processes daily output'!$F$24</f>
        <v>30240</v>
      </c>
      <c r="I16" s="22">
        <f>_xlfn.XLOOKUP(A16,'Pad Printing DPR - ABS'!$A$4:$A$26,'Pad Printing DPR - ABS'!$F$4:$F$26)</f>
        <v>0</v>
      </c>
      <c r="J16" s="23">
        <f t="shared" si="52"/>
        <v>0</v>
      </c>
      <c r="K16" s="55">
        <f t="shared" si="50"/>
        <v>0.55555555555555558</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c r="DJ16" s="4"/>
      <c r="DK16" s="7"/>
    </row>
    <row r="17" spans="1:115"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1"/>
        <v>16800</v>
      </c>
      <c r="H17" s="42">
        <f>'Final Processes daily output'!$F$24</f>
        <v>30240</v>
      </c>
      <c r="I17" s="22">
        <f>_xlfn.XLOOKUP(A17,'Pad Printing DPR - ABS'!$A$4:$A$26,'Pad Printing DPR - ABS'!$F$4:$F$26)</f>
        <v>0</v>
      </c>
      <c r="J17" s="23">
        <f t="shared" si="52"/>
        <v>0</v>
      </c>
      <c r="K17" s="55">
        <f t="shared" si="50"/>
        <v>0.55555555555555558</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c r="DJ17" s="35"/>
      <c r="DK17" s="36"/>
    </row>
    <row r="18" spans="1:115" x14ac:dyDescent="0.3">
      <c r="A18" s="2" t="s">
        <v>25</v>
      </c>
      <c r="B18" s="3" t="s">
        <v>26</v>
      </c>
      <c r="C18" s="3" t="s">
        <v>161</v>
      </c>
      <c r="D18" s="3" t="s">
        <v>114</v>
      </c>
      <c r="E18" s="9">
        <f>SUMIF('Sunglasses BOM'!$D$1:$D$79,B18,'Sunglasses BOM'!$E$1:$E$79)</f>
        <v>25200</v>
      </c>
      <c r="F18" s="2" cm="1">
        <f t="array" ref="F18">SUMPRODUCT((MOD(COLUMN($M18:$FR18)-COLUMN($M18),2)=0)*($M18:$FR18))</f>
        <v>0</v>
      </c>
      <c r="G18" s="9">
        <f t="shared" si="51"/>
        <v>25200</v>
      </c>
      <c r="H18" s="42">
        <f>'Final Processes daily output'!$F$24</f>
        <v>30240</v>
      </c>
      <c r="I18" s="22">
        <f>_xlfn.XLOOKUP(A18,'Pad Printing DPR - ABS'!$A$4:$A$26,'Pad Printing DPR - ABS'!$F$4:$F$26)</f>
        <v>0</v>
      </c>
      <c r="J18" s="23">
        <f t="shared" si="52"/>
        <v>0</v>
      </c>
      <c r="K18" s="23">
        <f t="shared" ref="K18:K26" si="53">G18/H18</f>
        <v>0.83333333333333337</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9"/>
      <c r="DJ18" s="33"/>
      <c r="DK18" s="34"/>
    </row>
    <row r="19" spans="1:115" ht="15" thickBot="1" x14ac:dyDescent="0.35">
      <c r="A19" s="2" t="s">
        <v>27</v>
      </c>
      <c r="B19" s="3" t="s">
        <v>28</v>
      </c>
      <c r="C19" s="3" t="s">
        <v>162</v>
      </c>
      <c r="D19" s="3" t="s">
        <v>115</v>
      </c>
      <c r="E19" s="9">
        <f>SUMIF('Sunglasses BOM'!$D$1:$D$79,B19,'Sunglasses BOM'!$E$1:$E$79)</f>
        <v>16800</v>
      </c>
      <c r="F19" s="2" cm="1">
        <f t="array" ref="F19">SUMPRODUCT((MOD(COLUMN($M19:$FR19)-COLUMN($M19),2)=0)*($M19:$FR19))</f>
        <v>0</v>
      </c>
      <c r="G19" s="9">
        <f t="shared" si="51"/>
        <v>16800</v>
      </c>
      <c r="H19" s="42">
        <f>'Final Processes daily output'!$F$24</f>
        <v>30240</v>
      </c>
      <c r="I19" s="22">
        <f>_xlfn.XLOOKUP(A19,'Pad Printing DPR - ABS'!$A$4:$A$26,'Pad Printing DPR - ABS'!$F$4:$F$26)</f>
        <v>0</v>
      </c>
      <c r="J19" s="23">
        <f t="shared" si="52"/>
        <v>0</v>
      </c>
      <c r="K19" s="23">
        <f t="shared" si="53"/>
        <v>0.55555555555555558</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10"/>
      <c r="DJ19" s="2"/>
      <c r="DK19" s="6"/>
    </row>
    <row r="20" spans="1:115" ht="15" thickBot="1" x14ac:dyDescent="0.35">
      <c r="A20" s="2" t="s">
        <v>29</v>
      </c>
      <c r="B20" s="3" t="s">
        <v>30</v>
      </c>
      <c r="C20" s="3" t="s">
        <v>162</v>
      </c>
      <c r="D20" s="3" t="s">
        <v>115</v>
      </c>
      <c r="E20" s="9">
        <f>SUMIF('Sunglasses BOM'!$D$1:$D$79,B20,'Sunglasses BOM'!$E$1:$E$79)</f>
        <v>8400</v>
      </c>
      <c r="F20" s="2" cm="1">
        <f t="array" ref="F20">SUMPRODUCT((MOD(COLUMN($M20:$FR20)-COLUMN($M20),2)=0)*($M20:$FR20))</f>
        <v>0</v>
      </c>
      <c r="G20" s="9">
        <f t="shared" si="51"/>
        <v>8400</v>
      </c>
      <c r="H20" s="42">
        <f>'Final Processes daily output'!$F$24</f>
        <v>30240</v>
      </c>
      <c r="I20" s="22">
        <f>_xlfn.XLOOKUP(A20,'Pad Printing DPR - ABS'!$A$4:$A$26,'Pad Printing DPR - ABS'!$F$4:$F$26)</f>
        <v>0</v>
      </c>
      <c r="J20" s="23">
        <f t="shared" si="52"/>
        <v>0</v>
      </c>
      <c r="K20" s="23">
        <f t="shared" si="53"/>
        <v>0.27777777777777779</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10"/>
      <c r="DJ20" s="2"/>
      <c r="DK20" s="6"/>
    </row>
    <row r="21" spans="1:115" ht="15" thickBot="1" x14ac:dyDescent="0.35">
      <c r="A21" s="2" t="s">
        <v>35</v>
      </c>
      <c r="B21" s="3" t="s">
        <v>36</v>
      </c>
      <c r="C21" s="3" t="s">
        <v>164</v>
      </c>
      <c r="D21" s="3" t="s">
        <v>117</v>
      </c>
      <c r="E21" s="9">
        <f>SUMIF('Sunglasses BOM'!$D$1:$D$79,B21,'Sunglasses BOM'!$E$1:$E$79)</f>
        <v>8400</v>
      </c>
      <c r="F21" s="2" cm="1">
        <f t="array" ref="F21">SUMPRODUCT((MOD(COLUMN($M21:$FR21)-COLUMN($M21),2)=0)*($M21:$FR21))</f>
        <v>0</v>
      </c>
      <c r="G21" s="9">
        <f t="shared" si="51"/>
        <v>8400</v>
      </c>
      <c r="H21" s="42">
        <f>'Final Processes daily output'!$F$24</f>
        <v>30240</v>
      </c>
      <c r="I21" s="22">
        <f>_xlfn.XLOOKUP(A21,'Pad Printing DPR - ABS'!$A$4:$A$26,'Pad Printing DPR - ABS'!$F$4:$F$26)</f>
        <v>0</v>
      </c>
      <c r="J21" s="23">
        <f t="shared" si="52"/>
        <v>0</v>
      </c>
      <c r="K21" s="23">
        <f t="shared" si="53"/>
        <v>0.27777777777777779</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10"/>
      <c r="DJ21" s="2"/>
      <c r="DK21" s="6"/>
    </row>
    <row r="22" spans="1:115" ht="15" thickBot="1" x14ac:dyDescent="0.35">
      <c r="A22" s="2" t="s">
        <v>47</v>
      </c>
      <c r="B22" s="3" t="s">
        <v>48</v>
      </c>
      <c r="C22" s="3" t="s">
        <v>165</v>
      </c>
      <c r="D22" s="3" t="s">
        <v>127</v>
      </c>
      <c r="E22" s="9">
        <f>SUMIF('Sunglasses BOM'!$D$1:$D$79,B22,'Sunglasses BOM'!$E$1:$E$79)</f>
        <v>16800</v>
      </c>
      <c r="F22" s="2" cm="1">
        <f t="array" ref="F22">SUMPRODUCT((MOD(COLUMN($M22:$FR22)-COLUMN($M22),2)=0)*($M22:$FR22))</f>
        <v>0</v>
      </c>
      <c r="G22" s="9">
        <f t="shared" si="51"/>
        <v>16800</v>
      </c>
      <c r="H22" s="42">
        <f>'Final Processes daily output'!$F$24</f>
        <v>30240</v>
      </c>
      <c r="I22" s="22">
        <f>_xlfn.XLOOKUP(A22,'Pad Printing DPR - ABS'!$A$4:$A$26,'Pad Printing DPR - ABS'!$F$4:$F$26)</f>
        <v>0</v>
      </c>
      <c r="J22" s="23">
        <f t="shared" si="52"/>
        <v>0</v>
      </c>
      <c r="K22" s="23">
        <f t="shared" si="53"/>
        <v>0.55555555555555558</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10"/>
      <c r="DJ22" s="2"/>
      <c r="DK22" s="6"/>
    </row>
    <row r="23" spans="1:115" ht="15" thickBot="1" x14ac:dyDescent="0.35">
      <c r="A23" s="2" t="s">
        <v>49</v>
      </c>
      <c r="B23" s="3" t="s">
        <v>50</v>
      </c>
      <c r="C23" s="3" t="s">
        <v>166</v>
      </c>
      <c r="D23" s="3" t="s">
        <v>128</v>
      </c>
      <c r="E23" s="9">
        <f>SUMIF('Sunglasses BOM'!$D$1:$D$79,B23,'Sunglasses BOM'!$E$1:$E$79)</f>
        <v>25200</v>
      </c>
      <c r="F23" s="2" cm="1">
        <f t="array" ref="F23">SUMPRODUCT((MOD(COLUMN($M23:$FR23)-COLUMN($M23),2)=0)*($M23:$FR23))</f>
        <v>0</v>
      </c>
      <c r="G23" s="9">
        <f t="shared" si="51"/>
        <v>25200</v>
      </c>
      <c r="H23" s="42">
        <f>'Final Processes daily output'!$F$24</f>
        <v>30240</v>
      </c>
      <c r="I23" s="22">
        <f>_xlfn.XLOOKUP(A23,'Pad Printing DPR - ABS'!$A$4:$A$26,'Pad Printing DPR - ABS'!$F$4:$F$26)</f>
        <v>0</v>
      </c>
      <c r="J23" s="23">
        <f t="shared" si="52"/>
        <v>0</v>
      </c>
      <c r="K23" s="23">
        <f t="shared" si="53"/>
        <v>0.83333333333333337</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10"/>
      <c r="DJ23" s="2"/>
      <c r="DK23" s="6"/>
    </row>
    <row r="24" spans="1:115" ht="15" thickBot="1" x14ac:dyDescent="0.35">
      <c r="A24" s="2" t="s">
        <v>51</v>
      </c>
      <c r="B24" s="3" t="s">
        <v>52</v>
      </c>
      <c r="C24" s="3" t="s">
        <v>167</v>
      </c>
      <c r="D24" s="3" t="s">
        <v>129</v>
      </c>
      <c r="E24" s="9">
        <f>SUMIF('Sunglasses BOM'!$D$1:$D$79,B24,'Sunglasses BOM'!$E$1:$E$79)</f>
        <v>16800</v>
      </c>
      <c r="F24" s="2" cm="1">
        <f t="array" ref="F24">SUMPRODUCT((MOD(COLUMN($M24:$FR24)-COLUMN($M24),2)=0)*($M24:$FR24))</f>
        <v>0</v>
      </c>
      <c r="G24" s="9">
        <f t="shared" si="51"/>
        <v>16800</v>
      </c>
      <c r="H24" s="42">
        <f>'Final Processes daily output'!$F$24</f>
        <v>30240</v>
      </c>
      <c r="I24" s="22">
        <f>_xlfn.XLOOKUP(A24,'Pad Printing DPR - ABS'!$A$4:$A$26,'Pad Printing DPR - ABS'!$F$4:$F$26)</f>
        <v>0</v>
      </c>
      <c r="J24" s="23">
        <f t="shared" si="52"/>
        <v>0</v>
      </c>
      <c r="K24" s="23">
        <f t="shared" si="53"/>
        <v>0.55555555555555558</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10"/>
      <c r="DJ24" s="2"/>
      <c r="DK24" s="6"/>
    </row>
    <row r="25" spans="1:115" ht="15" thickBot="1" x14ac:dyDescent="0.35">
      <c r="A25" s="2" t="s">
        <v>53</v>
      </c>
      <c r="B25" s="3" t="s">
        <v>54</v>
      </c>
      <c r="C25" s="3" t="s">
        <v>168</v>
      </c>
      <c r="D25" s="3" t="s">
        <v>130</v>
      </c>
      <c r="E25" s="9">
        <f>SUMIF('Sunglasses BOM'!$D$1:$D$79,B25,'Sunglasses BOM'!$E$1:$E$79)</f>
        <v>16800</v>
      </c>
      <c r="F25" s="2" cm="1">
        <f t="array" ref="F25">SUMPRODUCT((MOD(COLUMN($M25:$FR25)-COLUMN($M25),2)=0)*($M25:$FR25))</f>
        <v>0</v>
      </c>
      <c r="G25" s="9">
        <f t="shared" si="51"/>
        <v>16800</v>
      </c>
      <c r="H25" s="42">
        <f>'Final Processes daily output'!$F$24</f>
        <v>30240</v>
      </c>
      <c r="I25" s="22">
        <f>_xlfn.XLOOKUP(A25,'Pad Printing DPR - ABS'!$A$4:$A$26,'Pad Printing DPR - ABS'!$F$4:$F$26)</f>
        <v>0</v>
      </c>
      <c r="J25" s="23">
        <f t="shared" si="52"/>
        <v>0</v>
      </c>
      <c r="K25" s="23">
        <f t="shared" si="53"/>
        <v>0.55555555555555558</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10"/>
      <c r="DJ25" s="2"/>
      <c r="DK25" s="6"/>
    </row>
    <row r="26" spans="1:115" ht="15" thickBot="1" x14ac:dyDescent="0.35">
      <c r="A26" s="4" t="s">
        <v>55</v>
      </c>
      <c r="B26" s="5" t="s">
        <v>56</v>
      </c>
      <c r="C26" s="5" t="s">
        <v>169</v>
      </c>
      <c r="D26" s="5" t="s">
        <v>123</v>
      </c>
      <c r="E26" s="9">
        <f>SUMIF('Sunglasses BOM'!$D$1:$D$79,B26,'Sunglasses BOM'!$E$1:$E$79)</f>
        <v>16800</v>
      </c>
      <c r="F26" s="4" cm="1">
        <f t="array" ref="F26">SUMPRODUCT((MOD(COLUMN($M26:$FR26)-COLUMN($M26),2)=0)*($M26:$FR26))</f>
        <v>0</v>
      </c>
      <c r="G26" s="10">
        <f t="shared" si="51"/>
        <v>16800</v>
      </c>
      <c r="H26" s="42">
        <f>'Final Processes daily output'!$F$24</f>
        <v>30240</v>
      </c>
      <c r="I26" s="22">
        <f>_xlfn.XLOOKUP(A26,'Pad Printing DPR - ABS'!$A$4:$A$26,'Pad Printing DPR - ABS'!$F$4:$F$26)</f>
        <v>0</v>
      </c>
      <c r="J26" s="23">
        <f t="shared" si="52"/>
        <v>0</v>
      </c>
      <c r="K26" s="25">
        <f t="shared" si="53"/>
        <v>0.55555555555555558</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10"/>
      <c r="DJ26" s="4"/>
      <c r="DK26" s="7"/>
    </row>
  </sheetData>
  <mergeCells count="104">
    <mergeCell ref="L1:M1"/>
    <mergeCell ref="L2:M2"/>
    <mergeCell ref="DH2:DI2"/>
    <mergeCell ref="DJ2:DK2"/>
    <mergeCell ref="CV2:CW2"/>
    <mergeCell ref="CX2:CY2"/>
    <mergeCell ref="CZ2:DA2"/>
    <mergeCell ref="DB2:DC2"/>
    <mergeCell ref="DD2:DE2"/>
    <mergeCell ref="DF2:DG2"/>
    <mergeCell ref="CJ2:CK2"/>
    <mergeCell ref="CL2:CM2"/>
    <mergeCell ref="CN2:CO2"/>
    <mergeCell ref="CP2:CQ2"/>
    <mergeCell ref="CR2:CS2"/>
    <mergeCell ref="CT2:CU2"/>
    <mergeCell ref="BX2:BY2"/>
    <mergeCell ref="BZ2:CA2"/>
    <mergeCell ref="CB2:CC2"/>
    <mergeCell ref="CD2:CE2"/>
    <mergeCell ref="CF2:CG2"/>
    <mergeCell ref="CH2:CI2"/>
    <mergeCell ref="BL2:BM2"/>
    <mergeCell ref="BN2:BO2"/>
    <mergeCell ref="BP2:BQ2"/>
    <mergeCell ref="BR2:BS2"/>
    <mergeCell ref="BT2:BU2"/>
    <mergeCell ref="BV2:BW2"/>
    <mergeCell ref="DF1:DG1"/>
    <mergeCell ref="DH1:DI1"/>
    <mergeCell ref="DJ1:DK1"/>
    <mergeCell ref="CX1:CY1"/>
    <mergeCell ref="CZ1:DA1"/>
    <mergeCell ref="DB1:DC1"/>
    <mergeCell ref="DD1:DE1"/>
    <mergeCell ref="BP1:BQ1"/>
    <mergeCell ref="BR1:BS1"/>
    <mergeCell ref="BT1:BU1"/>
    <mergeCell ref="CT1:CU1"/>
    <mergeCell ref="CV1:CW1"/>
    <mergeCell ref="CH1:CI1"/>
    <mergeCell ref="CJ1:CK1"/>
    <mergeCell ref="CL1:CM1"/>
    <mergeCell ref="CN1:CO1"/>
    <mergeCell ref="CP1:CQ1"/>
    <mergeCell ref="CR1:CS1"/>
    <mergeCell ref="BV1:BW1"/>
    <mergeCell ref="BX1:BY1"/>
    <mergeCell ref="BZ1:CA1"/>
    <mergeCell ref="CB1:CC1"/>
    <mergeCell ref="CD1:CE1"/>
    <mergeCell ref="CF1:CG1"/>
    <mergeCell ref="BL1:BM1"/>
    <mergeCell ref="BN1:BO1"/>
    <mergeCell ref="AB2:AC2"/>
    <mergeCell ref="AD2:AE2"/>
    <mergeCell ref="AF2:AG2"/>
    <mergeCell ref="AH2:AI2"/>
    <mergeCell ref="AJ2:AK2"/>
    <mergeCell ref="AL2:AM2"/>
    <mergeCell ref="AX1:AY1"/>
    <mergeCell ref="AZ1:BA1"/>
    <mergeCell ref="BB1:BC1"/>
    <mergeCell ref="BD1:BE1"/>
    <mergeCell ref="BF1:BG1"/>
    <mergeCell ref="BH1:BI1"/>
    <mergeCell ref="AL1:AM1"/>
    <mergeCell ref="AN1:AO1"/>
    <mergeCell ref="AZ2:BA2"/>
    <mergeCell ref="BB2:BC2"/>
    <mergeCell ref="BD2:BE2"/>
    <mergeCell ref="BF2:BG2"/>
    <mergeCell ref="BJ2:BK2"/>
    <mergeCell ref="AN2:AO2"/>
    <mergeCell ref="AX2:AY2"/>
    <mergeCell ref="AT2:AU2"/>
    <mergeCell ref="AV2:AW2"/>
    <mergeCell ref="N1:O1"/>
    <mergeCell ref="P1:Q1"/>
    <mergeCell ref="R1:S1"/>
    <mergeCell ref="T1:U1"/>
    <mergeCell ref="V1:W1"/>
    <mergeCell ref="X1:Y1"/>
    <mergeCell ref="BJ1:BK1"/>
    <mergeCell ref="N2:O2"/>
    <mergeCell ref="P2:Q2"/>
    <mergeCell ref="R2:S2"/>
    <mergeCell ref="T2:U2"/>
    <mergeCell ref="V2:W2"/>
    <mergeCell ref="X2:Y2"/>
    <mergeCell ref="Z2:AA2"/>
    <mergeCell ref="AP2:AQ2"/>
    <mergeCell ref="AR2:AS2"/>
    <mergeCell ref="AP1:AQ1"/>
    <mergeCell ref="AR1:AS1"/>
    <mergeCell ref="AT1:AU1"/>
    <mergeCell ref="AV1:AW1"/>
    <mergeCell ref="Z1:AA1"/>
    <mergeCell ref="AB1:AC1"/>
    <mergeCell ref="AD1:AE1"/>
    <mergeCell ref="AF1:AG1"/>
    <mergeCell ref="AH1:AI1"/>
    <mergeCell ref="AJ1:AK1"/>
    <mergeCell ref="BH2:BI2"/>
  </mergeCells>
  <conditionalFormatting sqref="J4:J26">
    <cfRule type="cellIs" dxfId="9" priority="1" operator="lessThan">
      <formula>0</formula>
    </cfRule>
  </conditionalFormatting>
  <conditionalFormatting sqref="L2:DI2">
    <cfRule type="expression" dxfId="8" priority="2">
      <formula>SUM(L$4:L$17)&gt;$H$4</formula>
    </cfRule>
  </conditionalFormatting>
  <conditionalFormatting sqref="DJ2:DK2">
    <cfRule type="expression" dxfId="7" priority="4">
      <formula>SUM(DJ$4:DJ$17)&gt;$H$4</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A0C1E-7197-45D1-AA80-18E5FC5A86F7}">
  <dimension ref="A1:DL27"/>
  <sheetViews>
    <sheetView workbookViewId="0">
      <selection activeCell="K4" sqref="K4"/>
    </sheetView>
  </sheetViews>
  <sheetFormatPr defaultRowHeight="14.4" x14ac:dyDescent="0.3"/>
  <cols>
    <col min="1" max="1" width="16.44140625" bestFit="1" customWidth="1"/>
    <col min="2" max="2" width="33.21875" bestFit="1" customWidth="1"/>
    <col min="3" max="3" width="13.5546875" bestFit="1" customWidth="1"/>
    <col min="4" max="4" width="11" bestFit="1" customWidth="1"/>
    <col min="5" max="5" width="14.44140625" bestFit="1" customWidth="1"/>
    <col min="6" max="6" width="11.88671875" bestFit="1" customWidth="1"/>
    <col min="7" max="7" width="10.21875" bestFit="1" customWidth="1"/>
    <col min="8" max="8" width="6.77734375" bestFit="1" customWidth="1"/>
    <col min="9" max="9" width="8.109375" bestFit="1" customWidth="1"/>
    <col min="10" max="10" width="7.44140625" bestFit="1" customWidth="1"/>
    <col min="11" max="11" width="7.77734375" bestFit="1" customWidth="1"/>
    <col min="12" max="12" width="8.33203125" bestFit="1" customWidth="1"/>
    <col min="14" max="14" width="8.5546875" bestFit="1" customWidth="1"/>
    <col min="15" max="15" width="7.5546875" bestFit="1" customWidth="1"/>
    <col min="16" max="16" width="6" bestFit="1" customWidth="1"/>
    <col min="17" max="17" width="7.5546875" bestFit="1" customWidth="1"/>
    <col min="18" max="18" width="6" bestFit="1" customWidth="1"/>
    <col min="19" max="19" width="7.5546875" bestFit="1" customWidth="1"/>
    <col min="20" max="20" width="6" bestFit="1" customWidth="1"/>
    <col min="21" max="21" width="7.5546875" bestFit="1" customWidth="1"/>
    <col min="22" max="22" width="6" bestFit="1" customWidth="1"/>
    <col min="23" max="23" width="7.5546875" bestFit="1" customWidth="1"/>
    <col min="24" max="24" width="6" bestFit="1" customWidth="1"/>
    <col min="25" max="25" width="7.5546875" bestFit="1" customWidth="1"/>
    <col min="26" max="26" width="6" bestFit="1" customWidth="1"/>
    <col min="27" max="27" width="7.5546875" bestFit="1" customWidth="1"/>
    <col min="28" max="28" width="6" bestFit="1" customWidth="1"/>
    <col min="29" max="29" width="7.5546875" bestFit="1" customWidth="1"/>
    <col min="30" max="30" width="6" bestFit="1" customWidth="1"/>
    <col min="31" max="31" width="7.5546875" bestFit="1" customWidth="1"/>
    <col min="32" max="32" width="6" bestFit="1" customWidth="1"/>
    <col min="33" max="33" width="7.5546875" bestFit="1" customWidth="1"/>
    <col min="34" max="34" width="6" bestFit="1" customWidth="1"/>
    <col min="35" max="35" width="7.5546875" bestFit="1" customWidth="1"/>
    <col min="36" max="36" width="6" bestFit="1" customWidth="1"/>
    <col min="37" max="37" width="7.5546875" bestFit="1" customWidth="1"/>
    <col min="38" max="38" width="6" bestFit="1" customWidth="1"/>
    <col min="39" max="39" width="7.5546875" bestFit="1" customWidth="1"/>
    <col min="40" max="40" width="6" bestFit="1" customWidth="1"/>
    <col min="41" max="41" width="7.5546875" bestFit="1" customWidth="1"/>
    <col min="42" max="42" width="6" bestFit="1" customWidth="1"/>
    <col min="43" max="43" width="7.5546875" bestFit="1" customWidth="1"/>
    <col min="44" max="44" width="6" bestFit="1" customWidth="1"/>
    <col min="45" max="45" width="7.5546875" bestFit="1" customWidth="1"/>
    <col min="46" max="46" width="6" bestFit="1" customWidth="1"/>
    <col min="47" max="47" width="7.5546875" bestFit="1" customWidth="1"/>
    <col min="48" max="48" width="6" bestFit="1" customWidth="1"/>
    <col min="49" max="49" width="7.5546875" bestFit="1" customWidth="1"/>
    <col min="50" max="50" width="6" bestFit="1" customWidth="1"/>
    <col min="51" max="51" width="7.5546875" bestFit="1" customWidth="1"/>
    <col min="52" max="52" width="6" bestFit="1" customWidth="1"/>
    <col min="53" max="53" width="7.5546875" bestFit="1" customWidth="1"/>
    <col min="54" max="54" width="6" bestFit="1" customWidth="1"/>
    <col min="55" max="55" width="7.5546875" bestFit="1" customWidth="1"/>
    <col min="56" max="56" width="6" bestFit="1" customWidth="1"/>
    <col min="57" max="57" width="7.5546875" bestFit="1" customWidth="1"/>
    <col min="58" max="58" width="6" bestFit="1" customWidth="1"/>
    <col min="59" max="59" width="7.5546875" bestFit="1" customWidth="1"/>
    <col min="60" max="60" width="6" bestFit="1" customWidth="1"/>
    <col min="61" max="61" width="7.5546875" bestFit="1" customWidth="1"/>
    <col min="62" max="62" width="6" bestFit="1" customWidth="1"/>
    <col min="63" max="63" width="7.5546875" bestFit="1" customWidth="1"/>
    <col min="64" max="64" width="6" bestFit="1" customWidth="1"/>
    <col min="65" max="65" width="7.5546875" bestFit="1" customWidth="1"/>
    <col min="66" max="66" width="6" bestFit="1" customWidth="1"/>
    <col min="67" max="67" width="7.5546875" bestFit="1" customWidth="1"/>
    <col min="68" max="68" width="6" bestFit="1" customWidth="1"/>
    <col min="69" max="69" width="7.5546875" bestFit="1" customWidth="1"/>
    <col min="70" max="70" width="6" bestFit="1" customWidth="1"/>
    <col min="71" max="71" width="7.5546875" bestFit="1" customWidth="1"/>
    <col min="72" max="72" width="6" bestFit="1" customWidth="1"/>
    <col min="73" max="73" width="7.5546875" bestFit="1" customWidth="1"/>
    <col min="74" max="74" width="6" bestFit="1" customWidth="1"/>
    <col min="75" max="75" width="7.5546875" bestFit="1" customWidth="1"/>
    <col min="76" max="76" width="6" bestFit="1" customWidth="1"/>
    <col min="77" max="77" width="7.5546875" bestFit="1" customWidth="1"/>
    <col min="78" max="78" width="6" bestFit="1" customWidth="1"/>
    <col min="79" max="79" width="7.5546875" bestFit="1" customWidth="1"/>
    <col min="80" max="80" width="6" bestFit="1" customWidth="1"/>
    <col min="81" max="81" width="7.5546875" bestFit="1" customWidth="1"/>
    <col min="82" max="82" width="6" bestFit="1" customWidth="1"/>
    <col min="83" max="83" width="7.5546875" bestFit="1" customWidth="1"/>
    <col min="84" max="84" width="6" bestFit="1" customWidth="1"/>
    <col min="85" max="85" width="7.5546875" bestFit="1" customWidth="1"/>
    <col min="86" max="86" width="6" bestFit="1" customWidth="1"/>
    <col min="87" max="87" width="7.5546875" bestFit="1" customWidth="1"/>
    <col min="88" max="88" width="6" bestFit="1" customWidth="1"/>
    <col min="89" max="89" width="7.5546875" bestFit="1" customWidth="1"/>
    <col min="90" max="90" width="6" bestFit="1" customWidth="1"/>
    <col min="91" max="91" width="7.5546875" bestFit="1" customWidth="1"/>
    <col min="92" max="92" width="6" bestFit="1" customWidth="1"/>
    <col min="93" max="93" width="7.5546875" bestFit="1" customWidth="1"/>
    <col min="94" max="94" width="6" bestFit="1" customWidth="1"/>
    <col min="95" max="95" width="7.5546875" bestFit="1" customWidth="1"/>
    <col min="96" max="96" width="6" bestFit="1" customWidth="1"/>
    <col min="97" max="97" width="7.5546875" bestFit="1" customWidth="1"/>
    <col min="98" max="98" width="6" bestFit="1" customWidth="1"/>
    <col min="99" max="99" width="7.5546875" bestFit="1" customWidth="1"/>
    <col min="100" max="100" width="6" bestFit="1" customWidth="1"/>
    <col min="101" max="101" width="7.5546875" bestFit="1" customWidth="1"/>
    <col min="102" max="102" width="6" bestFit="1" customWidth="1"/>
    <col min="103" max="103" width="7.5546875" bestFit="1" customWidth="1"/>
    <col min="104" max="104" width="6" bestFit="1" customWidth="1"/>
    <col min="105" max="105" width="7.5546875" bestFit="1" customWidth="1"/>
    <col min="106" max="106" width="6" bestFit="1" customWidth="1"/>
    <col min="107" max="107" width="7.5546875" bestFit="1" customWidth="1"/>
    <col min="108" max="108" width="6" bestFit="1" customWidth="1"/>
    <col min="109" max="109" width="7.5546875" bestFit="1" customWidth="1"/>
    <col min="110" max="110" width="6" bestFit="1" customWidth="1"/>
    <col min="111" max="111" width="7.5546875" bestFit="1" customWidth="1"/>
    <col min="112" max="112" width="6" bestFit="1" customWidth="1"/>
    <col min="113" max="113" width="7.5546875" bestFit="1" customWidth="1"/>
    <col min="114" max="114" width="6" bestFit="1" customWidth="1"/>
    <col min="115" max="115" width="7.5546875" bestFit="1" customWidth="1"/>
    <col min="116" max="116" width="6" bestFit="1" customWidth="1"/>
  </cols>
  <sheetData>
    <row r="1" spans="1:116" x14ac:dyDescent="0.3">
      <c r="A1" s="33" t="s">
        <v>418</v>
      </c>
      <c r="B1" s="34" t="s">
        <v>7</v>
      </c>
      <c r="C1" s="47"/>
      <c r="D1" s="47"/>
      <c r="E1" s="47"/>
      <c r="F1" s="47"/>
      <c r="G1" s="47"/>
      <c r="H1" s="48"/>
      <c r="I1" s="49"/>
      <c r="J1" s="49"/>
      <c r="K1" s="49"/>
      <c r="L1" s="50"/>
      <c r="M1" s="50"/>
      <c r="N1" s="34"/>
      <c r="O1" s="106" t="s">
        <v>427</v>
      </c>
      <c r="P1" s="108"/>
      <c r="Q1" s="106" t="s">
        <v>428</v>
      </c>
      <c r="R1" s="108"/>
      <c r="S1" s="106" t="s">
        <v>429</v>
      </c>
      <c r="T1" s="116"/>
      <c r="U1" s="106" t="s">
        <v>430</v>
      </c>
      <c r="V1" s="108"/>
      <c r="W1" s="106" t="s">
        <v>431</v>
      </c>
      <c r="X1" s="116"/>
      <c r="Y1" s="106" t="s">
        <v>432</v>
      </c>
      <c r="Z1" s="108"/>
      <c r="AA1" s="106" t="s">
        <v>433</v>
      </c>
      <c r="AB1" s="116"/>
      <c r="AC1" s="106" t="s">
        <v>434</v>
      </c>
      <c r="AD1" s="108"/>
      <c r="AE1" s="106" t="s">
        <v>435</v>
      </c>
      <c r="AF1" s="116"/>
      <c r="AG1" s="106" t="s">
        <v>436</v>
      </c>
      <c r="AH1" s="108"/>
      <c r="AI1" s="106" t="s">
        <v>437</v>
      </c>
      <c r="AJ1" s="116"/>
      <c r="AK1" s="106" t="s">
        <v>438</v>
      </c>
      <c r="AL1" s="108"/>
      <c r="AM1" s="106" t="s">
        <v>439</v>
      </c>
      <c r="AN1" s="116"/>
      <c r="AO1" s="106" t="s">
        <v>440</v>
      </c>
      <c r="AP1" s="108"/>
      <c r="AQ1" s="106" t="s">
        <v>441</v>
      </c>
      <c r="AR1" s="116"/>
      <c r="AS1" s="106" t="s">
        <v>442</v>
      </c>
      <c r="AT1" s="108"/>
      <c r="AU1" s="106" t="s">
        <v>443</v>
      </c>
      <c r="AV1" s="116"/>
      <c r="AW1" s="106" t="s">
        <v>444</v>
      </c>
      <c r="AX1" s="108"/>
      <c r="AY1" s="106" t="s">
        <v>445</v>
      </c>
      <c r="AZ1" s="116"/>
      <c r="BA1" s="106" t="s">
        <v>446</v>
      </c>
      <c r="BB1" s="108"/>
      <c r="BC1" s="106" t="s">
        <v>447</v>
      </c>
      <c r="BD1" s="116"/>
      <c r="BE1" s="106" t="s">
        <v>448</v>
      </c>
      <c r="BF1" s="108"/>
      <c r="BG1" s="106" t="s">
        <v>449</v>
      </c>
      <c r="BH1" s="116"/>
      <c r="BI1" s="106" t="s">
        <v>450</v>
      </c>
      <c r="BJ1" s="108"/>
      <c r="BK1" s="106" t="s">
        <v>451</v>
      </c>
      <c r="BL1" s="116"/>
      <c r="BM1" s="106" t="s">
        <v>452</v>
      </c>
      <c r="BN1" s="108"/>
      <c r="BO1" s="106" t="s">
        <v>453</v>
      </c>
      <c r="BP1" s="116"/>
      <c r="BQ1" s="106" t="s">
        <v>454</v>
      </c>
      <c r="BR1" s="108"/>
      <c r="BS1" s="106" t="s">
        <v>455</v>
      </c>
      <c r="BT1" s="116"/>
      <c r="BU1" s="106" t="s">
        <v>456</v>
      </c>
      <c r="BV1" s="108"/>
      <c r="BW1" s="106" t="s">
        <v>457</v>
      </c>
      <c r="BX1" s="116"/>
      <c r="BY1" s="106" t="s">
        <v>458</v>
      </c>
      <c r="BZ1" s="108"/>
      <c r="CA1" s="106" t="s">
        <v>459</v>
      </c>
      <c r="CB1" s="116"/>
      <c r="CC1" s="106" t="s">
        <v>460</v>
      </c>
      <c r="CD1" s="108"/>
      <c r="CE1" s="106" t="s">
        <v>461</v>
      </c>
      <c r="CF1" s="116"/>
      <c r="CG1" s="106" t="s">
        <v>462</v>
      </c>
      <c r="CH1" s="108"/>
      <c r="CI1" s="106" t="s">
        <v>463</v>
      </c>
      <c r="CJ1" s="116"/>
      <c r="CK1" s="106" t="s">
        <v>464</v>
      </c>
      <c r="CL1" s="108"/>
      <c r="CM1" s="106" t="s">
        <v>465</v>
      </c>
      <c r="CN1" s="116"/>
      <c r="CO1" s="106" t="s">
        <v>466</v>
      </c>
      <c r="CP1" s="108"/>
      <c r="CQ1" s="106" t="s">
        <v>467</v>
      </c>
      <c r="CR1" s="116"/>
      <c r="CS1" s="106" t="s">
        <v>468</v>
      </c>
      <c r="CT1" s="108"/>
      <c r="CU1" s="106" t="s">
        <v>469</v>
      </c>
      <c r="CV1" s="116"/>
      <c r="CW1" s="106" t="s">
        <v>470</v>
      </c>
      <c r="CX1" s="108"/>
      <c r="CY1" s="106" t="s">
        <v>471</v>
      </c>
      <c r="CZ1" s="116"/>
      <c r="DA1" s="106" t="s">
        <v>472</v>
      </c>
      <c r="DB1" s="108"/>
      <c r="DC1" s="106" t="s">
        <v>473</v>
      </c>
      <c r="DD1" s="116"/>
      <c r="DE1" s="106" t="s">
        <v>474</v>
      </c>
      <c r="DF1" s="108"/>
      <c r="DG1" s="106" t="s">
        <v>475</v>
      </c>
      <c r="DH1" s="116"/>
      <c r="DI1" s="106" t="s">
        <v>476</v>
      </c>
      <c r="DJ1" s="108"/>
      <c r="DK1" s="106" t="s">
        <v>477</v>
      </c>
      <c r="DL1" s="108"/>
    </row>
    <row r="2" spans="1:116" ht="15" thickBot="1" x14ac:dyDescent="0.35">
      <c r="A2" s="35"/>
      <c r="B2" s="36"/>
      <c r="C2" s="46"/>
      <c r="D2" s="46"/>
      <c r="E2" s="46"/>
      <c r="F2" s="46"/>
      <c r="G2" s="46"/>
      <c r="H2" s="37"/>
      <c r="I2" s="5"/>
      <c r="J2" s="5"/>
      <c r="K2" s="41"/>
      <c r="L2" s="11"/>
      <c r="M2" s="11"/>
      <c r="N2" s="7"/>
      <c r="O2" s="115">
        <v>45967</v>
      </c>
      <c r="P2" s="111"/>
      <c r="Q2" s="119">
        <f>WORKDAY.INTL(O2,1,"0000001")</f>
        <v>45968</v>
      </c>
      <c r="R2" s="120"/>
      <c r="S2" s="119">
        <f t="shared" ref="S2" si="0">WORKDAY.INTL(Q2,1,"0000001")</f>
        <v>45969</v>
      </c>
      <c r="T2" s="120"/>
      <c r="U2" s="119">
        <f t="shared" ref="U2" si="1">WORKDAY.INTL(S2,1,"0000001")</f>
        <v>45971</v>
      </c>
      <c r="V2" s="120"/>
      <c r="W2" s="119">
        <f t="shared" ref="W2" si="2">WORKDAY.INTL(U2,1,"0000001")</f>
        <v>45972</v>
      </c>
      <c r="X2" s="120"/>
      <c r="Y2" s="119">
        <f t="shared" ref="Y2" si="3">WORKDAY.INTL(W2,1,"0000001")</f>
        <v>45973</v>
      </c>
      <c r="Z2" s="120"/>
      <c r="AA2" s="119">
        <f t="shared" ref="AA2" si="4">WORKDAY.INTL(Y2,1,"0000001")</f>
        <v>45974</v>
      </c>
      <c r="AB2" s="120"/>
      <c r="AC2" s="119">
        <f t="shared" ref="AC2" si="5">WORKDAY.INTL(AA2,1,"0000001")</f>
        <v>45975</v>
      </c>
      <c r="AD2" s="120"/>
      <c r="AE2" s="119">
        <f t="shared" ref="AE2" si="6">WORKDAY.INTL(AC2,1,"0000001")</f>
        <v>45976</v>
      </c>
      <c r="AF2" s="120"/>
      <c r="AG2" s="119">
        <f t="shared" ref="AG2" si="7">WORKDAY.INTL(AE2,1,"0000001")</f>
        <v>45978</v>
      </c>
      <c r="AH2" s="120"/>
      <c r="AI2" s="119">
        <f t="shared" ref="AI2" si="8">WORKDAY.INTL(AG2,1,"0000001")</f>
        <v>45979</v>
      </c>
      <c r="AJ2" s="120"/>
      <c r="AK2" s="119">
        <f t="shared" ref="AK2" si="9">WORKDAY.INTL(AI2,1,"0000001")</f>
        <v>45980</v>
      </c>
      <c r="AL2" s="120"/>
      <c r="AM2" s="119">
        <f t="shared" ref="AM2" si="10">WORKDAY.INTL(AK2,1,"0000001")</f>
        <v>45981</v>
      </c>
      <c r="AN2" s="120"/>
      <c r="AO2" s="119">
        <f t="shared" ref="AO2" si="11">WORKDAY.INTL(AM2,1,"0000001")</f>
        <v>45982</v>
      </c>
      <c r="AP2" s="120"/>
      <c r="AQ2" s="119">
        <f t="shared" ref="AQ2" si="12">WORKDAY.INTL(AO2,1,"0000001")</f>
        <v>45983</v>
      </c>
      <c r="AR2" s="120"/>
      <c r="AS2" s="119">
        <f t="shared" ref="AS2" si="13">WORKDAY.INTL(AQ2,1,"0000001")</f>
        <v>45985</v>
      </c>
      <c r="AT2" s="120"/>
      <c r="AU2" s="119">
        <f t="shared" ref="AU2" si="14">WORKDAY.INTL(AS2,1,"0000001")</f>
        <v>45986</v>
      </c>
      <c r="AV2" s="120"/>
      <c r="AW2" s="119">
        <f t="shared" ref="AW2" si="15">WORKDAY.INTL(AU2,1,"0000001")</f>
        <v>45987</v>
      </c>
      <c r="AX2" s="120"/>
      <c r="AY2" s="119">
        <f t="shared" ref="AY2" si="16">WORKDAY.INTL(AW2,1,"0000001")</f>
        <v>45988</v>
      </c>
      <c r="AZ2" s="120"/>
      <c r="BA2" s="119">
        <f t="shared" ref="BA2" si="17">WORKDAY.INTL(AY2,1,"0000001")</f>
        <v>45989</v>
      </c>
      <c r="BB2" s="120"/>
      <c r="BC2" s="119">
        <f t="shared" ref="BC2" si="18">WORKDAY.INTL(BA2,1,"0000001")</f>
        <v>45990</v>
      </c>
      <c r="BD2" s="120"/>
      <c r="BE2" s="119">
        <f t="shared" ref="BE2" si="19">WORKDAY.INTL(BC2,1,"0000001")</f>
        <v>45992</v>
      </c>
      <c r="BF2" s="120"/>
      <c r="BG2" s="119">
        <f t="shared" ref="BG2" si="20">WORKDAY.INTL(BE2,1,"0000001")</f>
        <v>45993</v>
      </c>
      <c r="BH2" s="120"/>
      <c r="BI2" s="119">
        <f t="shared" ref="BI2" si="21">WORKDAY.INTL(BG2,1,"0000001")</f>
        <v>45994</v>
      </c>
      <c r="BJ2" s="120"/>
      <c r="BK2" s="119">
        <f t="shared" ref="BK2" si="22">WORKDAY.INTL(BI2,1,"0000001")</f>
        <v>45995</v>
      </c>
      <c r="BL2" s="120"/>
      <c r="BM2" s="119">
        <f t="shared" ref="BM2" si="23">WORKDAY.INTL(BK2,1,"0000001")</f>
        <v>45996</v>
      </c>
      <c r="BN2" s="120"/>
      <c r="BO2" s="119">
        <f t="shared" ref="BO2" si="24">WORKDAY.INTL(BM2,1,"0000001")</f>
        <v>45997</v>
      </c>
      <c r="BP2" s="120"/>
      <c r="BQ2" s="119">
        <f t="shared" ref="BQ2" si="25">WORKDAY.INTL(BO2,1,"0000001")</f>
        <v>45999</v>
      </c>
      <c r="BR2" s="120"/>
      <c r="BS2" s="119">
        <f t="shared" ref="BS2" si="26">WORKDAY.INTL(BQ2,1,"0000001")</f>
        <v>46000</v>
      </c>
      <c r="BT2" s="120"/>
      <c r="BU2" s="119">
        <f t="shared" ref="BU2" si="27">WORKDAY.INTL(BS2,1,"0000001")</f>
        <v>46001</v>
      </c>
      <c r="BV2" s="120"/>
      <c r="BW2" s="119">
        <f t="shared" ref="BW2" si="28">WORKDAY.INTL(BU2,1,"0000001")</f>
        <v>46002</v>
      </c>
      <c r="BX2" s="120"/>
      <c r="BY2" s="119">
        <f t="shared" ref="BY2" si="29">WORKDAY.INTL(BW2,1,"0000001")</f>
        <v>46003</v>
      </c>
      <c r="BZ2" s="120"/>
      <c r="CA2" s="119">
        <f t="shared" ref="CA2" si="30">WORKDAY.INTL(BY2,1,"0000001")</f>
        <v>46004</v>
      </c>
      <c r="CB2" s="120"/>
      <c r="CC2" s="119">
        <f t="shared" ref="CC2" si="31">WORKDAY.INTL(CA2,1,"0000001")</f>
        <v>46006</v>
      </c>
      <c r="CD2" s="120"/>
      <c r="CE2" s="119">
        <f t="shared" ref="CE2" si="32">WORKDAY.INTL(CC2,1,"0000001")</f>
        <v>46007</v>
      </c>
      <c r="CF2" s="120"/>
      <c r="CG2" s="119">
        <f t="shared" ref="CG2" si="33">WORKDAY.INTL(CE2,1,"0000001")</f>
        <v>46008</v>
      </c>
      <c r="CH2" s="120"/>
      <c r="CI2" s="119">
        <f t="shared" ref="CI2" si="34">WORKDAY.INTL(CG2,1,"0000001")</f>
        <v>46009</v>
      </c>
      <c r="CJ2" s="120"/>
      <c r="CK2" s="119">
        <f t="shared" ref="CK2" si="35">WORKDAY.INTL(CI2,1,"0000001")</f>
        <v>46010</v>
      </c>
      <c r="CL2" s="120"/>
      <c r="CM2" s="119">
        <f t="shared" ref="CM2" si="36">WORKDAY.INTL(CK2,1,"0000001")</f>
        <v>46011</v>
      </c>
      <c r="CN2" s="120"/>
      <c r="CO2" s="119">
        <f t="shared" ref="CO2" si="37">WORKDAY.INTL(CM2,1,"0000001")</f>
        <v>46013</v>
      </c>
      <c r="CP2" s="120"/>
      <c r="CQ2" s="119">
        <f t="shared" ref="CQ2" si="38">WORKDAY.INTL(CO2,1,"0000001")</f>
        <v>46014</v>
      </c>
      <c r="CR2" s="120"/>
      <c r="CS2" s="119">
        <f t="shared" ref="CS2" si="39">WORKDAY.INTL(CQ2,1,"0000001")</f>
        <v>46015</v>
      </c>
      <c r="CT2" s="120"/>
      <c r="CU2" s="119">
        <f t="shared" ref="CU2" si="40">WORKDAY.INTL(CS2,1,"0000001")</f>
        <v>46016</v>
      </c>
      <c r="CV2" s="120"/>
      <c r="CW2" s="119">
        <f t="shared" ref="CW2" si="41">WORKDAY.INTL(CU2,1,"0000001")</f>
        <v>46017</v>
      </c>
      <c r="CX2" s="120"/>
      <c r="CY2" s="119">
        <f t="shared" ref="CY2" si="42">WORKDAY.INTL(CW2,1,"0000001")</f>
        <v>46018</v>
      </c>
      <c r="CZ2" s="120"/>
      <c r="DA2" s="119">
        <f t="shared" ref="DA2" si="43">WORKDAY.INTL(CY2,1,"0000001")</f>
        <v>46020</v>
      </c>
      <c r="DB2" s="120"/>
      <c r="DC2" s="119">
        <f t="shared" ref="DC2" si="44">WORKDAY.INTL(DA2,1,"0000001")</f>
        <v>46021</v>
      </c>
      <c r="DD2" s="120"/>
      <c r="DE2" s="119">
        <f t="shared" ref="DE2" si="45">WORKDAY.INTL(DC2,1,"0000001")</f>
        <v>46022</v>
      </c>
      <c r="DF2" s="120"/>
      <c r="DG2" s="119">
        <f t="shared" ref="DG2" si="46">WORKDAY.INTL(DE2,1,"0000001")</f>
        <v>46023</v>
      </c>
      <c r="DH2" s="120"/>
      <c r="DI2" s="119">
        <f t="shared" ref="DI2" si="47">WORKDAY.INTL(DG2,1,"0000001")</f>
        <v>46024</v>
      </c>
      <c r="DJ2" s="120"/>
      <c r="DK2" s="119">
        <f t="shared" ref="DK2" si="48">WORKDAY.INTL(DI2,1,"0000001")</f>
        <v>46025</v>
      </c>
      <c r="DL2" s="120"/>
    </row>
    <row r="3" spans="1:116" ht="72" x14ac:dyDescent="0.3">
      <c r="A3" s="38" t="s">
        <v>505</v>
      </c>
      <c r="B3" s="39" t="s">
        <v>3</v>
      </c>
      <c r="C3" s="49" t="s">
        <v>180</v>
      </c>
      <c r="D3" s="49" t="s">
        <v>503</v>
      </c>
      <c r="E3" s="49" t="s">
        <v>179</v>
      </c>
      <c r="F3" s="49" t="s">
        <v>504</v>
      </c>
      <c r="G3" s="49" t="s">
        <v>119</v>
      </c>
      <c r="H3" s="40" t="s">
        <v>419</v>
      </c>
      <c r="I3" s="51" t="s">
        <v>420</v>
      </c>
      <c r="J3" s="52" t="s">
        <v>421</v>
      </c>
      <c r="K3" s="38" t="s">
        <v>423</v>
      </c>
      <c r="L3" s="39" t="s">
        <v>540</v>
      </c>
      <c r="M3" s="40" t="s">
        <v>508</v>
      </c>
      <c r="N3" s="53" t="s">
        <v>424</v>
      </c>
      <c r="O3" s="30" t="s">
        <v>425</v>
      </c>
      <c r="P3" s="31" t="s">
        <v>426</v>
      </c>
      <c r="Q3" s="30" t="s">
        <v>425</v>
      </c>
      <c r="R3" s="31" t="s">
        <v>426</v>
      </c>
      <c r="S3" s="30" t="s">
        <v>425</v>
      </c>
      <c r="T3" s="31" t="s">
        <v>426</v>
      </c>
      <c r="U3" s="30" t="s">
        <v>425</v>
      </c>
      <c r="V3" s="31" t="s">
        <v>426</v>
      </c>
      <c r="W3" s="30" t="s">
        <v>425</v>
      </c>
      <c r="X3" s="31" t="s">
        <v>426</v>
      </c>
      <c r="Y3" s="30" t="s">
        <v>425</v>
      </c>
      <c r="Z3" s="31" t="s">
        <v>426</v>
      </c>
      <c r="AA3" s="30" t="s">
        <v>425</v>
      </c>
      <c r="AB3" s="31" t="s">
        <v>426</v>
      </c>
      <c r="AC3" s="30" t="s">
        <v>425</v>
      </c>
      <c r="AD3" s="31" t="s">
        <v>426</v>
      </c>
      <c r="AE3" s="30" t="s">
        <v>425</v>
      </c>
      <c r="AF3" s="31" t="s">
        <v>426</v>
      </c>
      <c r="AG3" s="30" t="s">
        <v>425</v>
      </c>
      <c r="AH3" s="31" t="s">
        <v>426</v>
      </c>
      <c r="AI3" s="30" t="s">
        <v>425</v>
      </c>
      <c r="AJ3" s="31" t="s">
        <v>426</v>
      </c>
      <c r="AK3" s="30" t="s">
        <v>425</v>
      </c>
      <c r="AL3" s="31" t="s">
        <v>426</v>
      </c>
      <c r="AM3" s="30" t="s">
        <v>425</v>
      </c>
      <c r="AN3" s="31" t="s">
        <v>426</v>
      </c>
      <c r="AO3" s="30" t="s">
        <v>425</v>
      </c>
      <c r="AP3" s="31" t="s">
        <v>426</v>
      </c>
      <c r="AQ3" s="30" t="s">
        <v>425</v>
      </c>
      <c r="AR3" s="31" t="s">
        <v>426</v>
      </c>
      <c r="AS3" s="30" t="s">
        <v>425</v>
      </c>
      <c r="AT3" s="31" t="s">
        <v>426</v>
      </c>
      <c r="AU3" s="30" t="s">
        <v>425</v>
      </c>
      <c r="AV3" s="31" t="s">
        <v>426</v>
      </c>
      <c r="AW3" s="30" t="s">
        <v>425</v>
      </c>
      <c r="AX3" s="31" t="s">
        <v>426</v>
      </c>
      <c r="AY3" s="30" t="s">
        <v>425</v>
      </c>
      <c r="AZ3" s="31" t="s">
        <v>426</v>
      </c>
      <c r="BA3" s="30" t="s">
        <v>425</v>
      </c>
      <c r="BB3" s="31" t="s">
        <v>426</v>
      </c>
      <c r="BC3" s="30" t="s">
        <v>425</v>
      </c>
      <c r="BD3" s="31" t="s">
        <v>426</v>
      </c>
      <c r="BE3" s="30" t="s">
        <v>425</v>
      </c>
      <c r="BF3" s="31" t="s">
        <v>426</v>
      </c>
      <c r="BG3" s="30" t="s">
        <v>425</v>
      </c>
      <c r="BH3" s="31" t="s">
        <v>426</v>
      </c>
      <c r="BI3" s="30" t="s">
        <v>425</v>
      </c>
      <c r="BJ3" s="31" t="s">
        <v>426</v>
      </c>
      <c r="BK3" s="30" t="s">
        <v>425</v>
      </c>
      <c r="BL3" s="31" t="s">
        <v>426</v>
      </c>
      <c r="BM3" s="30" t="s">
        <v>425</v>
      </c>
      <c r="BN3" s="31" t="s">
        <v>426</v>
      </c>
      <c r="BO3" s="30" t="s">
        <v>425</v>
      </c>
      <c r="BP3" s="31" t="s">
        <v>426</v>
      </c>
      <c r="BQ3" s="30" t="s">
        <v>425</v>
      </c>
      <c r="BR3" s="31" t="s">
        <v>426</v>
      </c>
      <c r="BS3" s="30" t="s">
        <v>425</v>
      </c>
      <c r="BT3" s="31" t="s">
        <v>426</v>
      </c>
      <c r="BU3" s="30" t="s">
        <v>425</v>
      </c>
      <c r="BV3" s="31" t="s">
        <v>426</v>
      </c>
      <c r="BW3" s="30" t="s">
        <v>425</v>
      </c>
      <c r="BX3" s="31" t="s">
        <v>426</v>
      </c>
      <c r="BY3" s="30" t="s">
        <v>425</v>
      </c>
      <c r="BZ3" s="31" t="s">
        <v>426</v>
      </c>
      <c r="CA3" s="30" t="s">
        <v>425</v>
      </c>
      <c r="CB3" s="31" t="s">
        <v>426</v>
      </c>
      <c r="CC3" s="30" t="s">
        <v>425</v>
      </c>
      <c r="CD3" s="31" t="s">
        <v>426</v>
      </c>
      <c r="CE3" s="30" t="s">
        <v>425</v>
      </c>
      <c r="CF3" s="31" t="s">
        <v>426</v>
      </c>
      <c r="CG3" s="30" t="s">
        <v>425</v>
      </c>
      <c r="CH3" s="31" t="s">
        <v>426</v>
      </c>
      <c r="CI3" s="30" t="s">
        <v>425</v>
      </c>
      <c r="CJ3" s="31" t="s">
        <v>426</v>
      </c>
      <c r="CK3" s="30" t="s">
        <v>425</v>
      </c>
      <c r="CL3" s="31" t="s">
        <v>426</v>
      </c>
      <c r="CM3" s="30" t="s">
        <v>425</v>
      </c>
      <c r="CN3" s="31" t="s">
        <v>426</v>
      </c>
      <c r="CO3" s="30" t="s">
        <v>425</v>
      </c>
      <c r="CP3" s="31" t="s">
        <v>426</v>
      </c>
      <c r="CQ3" s="30" t="s">
        <v>425</v>
      </c>
      <c r="CR3" s="31" t="s">
        <v>426</v>
      </c>
      <c r="CS3" s="30" t="s">
        <v>425</v>
      </c>
      <c r="CT3" s="31" t="s">
        <v>426</v>
      </c>
      <c r="CU3" s="30" t="s">
        <v>425</v>
      </c>
      <c r="CV3" s="31" t="s">
        <v>426</v>
      </c>
      <c r="CW3" s="30" t="s">
        <v>425</v>
      </c>
      <c r="CX3" s="31" t="s">
        <v>426</v>
      </c>
      <c r="CY3" s="30" t="s">
        <v>425</v>
      </c>
      <c r="CZ3" s="31" t="s">
        <v>426</v>
      </c>
      <c r="DA3" s="30" t="s">
        <v>425</v>
      </c>
      <c r="DB3" s="31" t="s">
        <v>426</v>
      </c>
      <c r="DC3" s="30" t="s">
        <v>425</v>
      </c>
      <c r="DD3" s="31" t="s">
        <v>426</v>
      </c>
      <c r="DE3" s="30" t="s">
        <v>425</v>
      </c>
      <c r="DF3" s="31" t="s">
        <v>426</v>
      </c>
      <c r="DG3" s="30" t="s">
        <v>425</v>
      </c>
      <c r="DH3" s="31" t="s">
        <v>426</v>
      </c>
      <c r="DI3" s="30" t="s">
        <v>425</v>
      </c>
      <c r="DJ3" s="31" t="s">
        <v>426</v>
      </c>
      <c r="DK3" s="30" t="s">
        <v>425</v>
      </c>
      <c r="DL3" s="31" t="s">
        <v>426</v>
      </c>
    </row>
    <row r="4" spans="1:116" x14ac:dyDescent="0.3">
      <c r="A4" s="2" t="s">
        <v>58</v>
      </c>
      <c r="B4" s="3" t="s">
        <v>59</v>
      </c>
      <c r="C4" s="3" t="s">
        <v>170</v>
      </c>
      <c r="D4" s="3" t="s">
        <v>111</v>
      </c>
      <c r="E4" s="3" t="s">
        <v>170</v>
      </c>
      <c r="F4" s="3" t="s">
        <v>111</v>
      </c>
      <c r="G4" s="3"/>
      <c r="H4" s="6">
        <f>SUMIF('Sunglasses BOM'!C2:C79,A4,'Sunglasses BOM'!E2:E79)</f>
        <v>117600</v>
      </c>
      <c r="I4" s="32" cm="1">
        <f t="array" ref="I4">SUMPRODUCT((MOD(COLUMN($P4:$FU4)-COLUMN($P4),2)=0)*($P4:$FU4))</f>
        <v>0</v>
      </c>
      <c r="J4" s="9">
        <f>H4-I4</f>
        <v>117600</v>
      </c>
      <c r="K4" s="42">
        <f>'Final Processes daily output'!$F$27</f>
        <v>30240</v>
      </c>
      <c r="L4" s="22">
        <f>_xlfn.XLOOKUP(A4,'Pad Printing DPR - PP'!$A$4:$A$27,'Pad Printing DPR - PP'!$I$4:$I$27)</f>
        <v>0</v>
      </c>
      <c r="M4" s="23">
        <f>L4-I4</f>
        <v>0</v>
      </c>
      <c r="N4" s="54">
        <f>J4/K4</f>
        <v>3.8888888888888888</v>
      </c>
      <c r="O4" s="2"/>
      <c r="P4" s="6"/>
      <c r="Q4" s="2"/>
      <c r="R4" s="6"/>
      <c r="S4" s="2"/>
      <c r="T4" s="6"/>
      <c r="U4" s="2"/>
      <c r="V4" s="6"/>
      <c r="W4" s="2"/>
      <c r="X4" s="6"/>
      <c r="Y4" s="2"/>
      <c r="Z4" s="6"/>
      <c r="AA4" s="2"/>
      <c r="AB4" s="6"/>
      <c r="AC4" s="2"/>
      <c r="AD4" s="6"/>
      <c r="AE4" s="2"/>
      <c r="AF4" s="6"/>
      <c r="AG4" s="2"/>
      <c r="AH4" s="6"/>
      <c r="AI4" s="2"/>
      <c r="AJ4" s="6"/>
      <c r="AK4" s="2"/>
      <c r="AL4" s="6"/>
      <c r="AM4" s="2"/>
      <c r="AN4" s="6"/>
      <c r="AO4" s="2"/>
      <c r="AP4" s="6"/>
      <c r="AQ4" s="2"/>
      <c r="AR4" s="6"/>
      <c r="AS4" s="2"/>
      <c r="AT4" s="6"/>
      <c r="AU4" s="2"/>
      <c r="AV4" s="6"/>
      <c r="AW4" s="2"/>
      <c r="AX4" s="6"/>
      <c r="AY4" s="2"/>
      <c r="AZ4" s="6"/>
      <c r="BA4" s="2"/>
      <c r="BB4" s="6"/>
      <c r="BC4" s="2"/>
      <c r="BD4" s="6"/>
      <c r="BE4" s="2"/>
      <c r="BF4" s="6"/>
      <c r="BG4" s="2"/>
      <c r="BH4" s="6"/>
      <c r="BI4" s="2"/>
      <c r="BJ4" s="6"/>
      <c r="BK4" s="2"/>
      <c r="BL4" s="6"/>
      <c r="BM4" s="2"/>
      <c r="BN4" s="6"/>
      <c r="BO4" s="2"/>
      <c r="BP4" s="6"/>
      <c r="BQ4" s="2"/>
      <c r="BR4" s="6"/>
      <c r="BS4" s="2"/>
      <c r="BT4" s="6"/>
      <c r="BU4" s="2"/>
      <c r="BV4" s="6"/>
      <c r="BW4" s="2"/>
      <c r="BX4" s="6"/>
      <c r="BY4" s="2"/>
      <c r="BZ4" s="6"/>
      <c r="CA4" s="2"/>
      <c r="CB4" s="6"/>
      <c r="CC4" s="2"/>
      <c r="CD4" s="6"/>
      <c r="CE4" s="2"/>
      <c r="CF4" s="6"/>
      <c r="CG4" s="2"/>
      <c r="CH4" s="6"/>
      <c r="CI4" s="2"/>
      <c r="CJ4" s="6"/>
      <c r="CK4" s="2"/>
      <c r="CL4" s="6"/>
      <c r="CM4" s="2"/>
      <c r="CN4" s="6"/>
      <c r="CO4" s="2"/>
      <c r="CP4" s="6"/>
      <c r="CQ4" s="2"/>
      <c r="CR4" s="6"/>
      <c r="CS4" s="2"/>
      <c r="CT4" s="6"/>
      <c r="CU4" s="2"/>
      <c r="CV4" s="6"/>
      <c r="CW4" s="2"/>
      <c r="CX4" s="6"/>
      <c r="CY4" s="2"/>
      <c r="CZ4" s="6"/>
      <c r="DA4" s="2"/>
      <c r="DB4" s="6"/>
      <c r="DC4" s="2"/>
      <c r="DD4" s="6"/>
      <c r="DE4" s="2"/>
      <c r="DF4" s="6"/>
      <c r="DG4" s="2"/>
      <c r="DH4" s="6"/>
      <c r="DI4" s="2"/>
      <c r="DJ4" s="6"/>
      <c r="DK4" s="2"/>
      <c r="DL4" s="6"/>
    </row>
    <row r="5" spans="1:116" x14ac:dyDescent="0.3">
      <c r="A5" s="2" t="s">
        <v>60</v>
      </c>
      <c r="B5" s="3" t="s">
        <v>61</v>
      </c>
      <c r="C5" s="3" t="s">
        <v>171</v>
      </c>
      <c r="D5" s="3" t="s">
        <v>112</v>
      </c>
      <c r="E5" s="3" t="s">
        <v>171</v>
      </c>
      <c r="F5" s="3" t="s">
        <v>112</v>
      </c>
      <c r="G5" s="3" t="s">
        <v>119</v>
      </c>
      <c r="H5" s="6">
        <f>SUMIF('Sunglasses BOM'!C3:C80,A5,'Sunglasses BOM'!E3:E80)</f>
        <v>58800</v>
      </c>
      <c r="I5" s="32" cm="1">
        <f t="array" ref="I5">SUMPRODUCT((MOD(COLUMN($P5:$FU5)-COLUMN($P5),2)=0)*($P5:$FU5))</f>
        <v>0</v>
      </c>
      <c r="J5" s="9">
        <f t="shared" ref="J5:J27" si="49">H5-I5</f>
        <v>58800</v>
      </c>
      <c r="K5" s="42">
        <f>'Final Processes daily output'!$F$27</f>
        <v>30240</v>
      </c>
      <c r="L5" s="22">
        <f>_xlfn.XLOOKUP(A5,'Pad Printing DPR - PP'!$A$4:$A$27,'Pad Printing DPR - PP'!$I$4:$I$27)</f>
        <v>0</v>
      </c>
      <c r="M5" s="23">
        <f t="shared" ref="M5:M27" si="50">L5-I5</f>
        <v>0</v>
      </c>
      <c r="N5" s="54">
        <f t="shared" ref="N5:N27" si="51">J5/K5</f>
        <v>1.9444444444444444</v>
      </c>
      <c r="O5" s="2"/>
      <c r="P5" s="6"/>
      <c r="Q5" s="2"/>
      <c r="R5" s="6"/>
      <c r="S5" s="2"/>
      <c r="T5" s="6"/>
      <c r="U5" s="2"/>
      <c r="V5" s="6"/>
      <c r="W5" s="2"/>
      <c r="X5" s="6"/>
      <c r="Y5" s="2"/>
      <c r="Z5" s="6"/>
      <c r="AA5" s="2"/>
      <c r="AB5" s="6"/>
      <c r="AC5" s="2"/>
      <c r="AD5" s="6"/>
      <c r="AE5" s="2"/>
      <c r="AF5" s="6"/>
      <c r="AG5" s="2"/>
      <c r="AH5" s="6"/>
      <c r="AI5" s="2"/>
      <c r="AJ5" s="6"/>
      <c r="AK5" s="2"/>
      <c r="AL5" s="6"/>
      <c r="AM5" s="2"/>
      <c r="AN5" s="6"/>
      <c r="AO5" s="2"/>
      <c r="AP5" s="6"/>
      <c r="AQ5" s="2"/>
      <c r="AR5" s="6"/>
      <c r="AS5" s="2"/>
      <c r="AT5" s="6"/>
      <c r="AU5" s="2"/>
      <c r="AV5" s="6"/>
      <c r="AW5" s="2"/>
      <c r="AX5" s="6"/>
      <c r="AY5" s="2"/>
      <c r="AZ5" s="6"/>
      <c r="BA5" s="2"/>
      <c r="BB5" s="6"/>
      <c r="BC5" s="2"/>
      <c r="BD5" s="6"/>
      <c r="BE5" s="2"/>
      <c r="BF5" s="6"/>
      <c r="BG5" s="2"/>
      <c r="BH5" s="6"/>
      <c r="BI5" s="2"/>
      <c r="BJ5" s="6"/>
      <c r="BK5" s="2"/>
      <c r="BL5" s="6"/>
      <c r="BM5" s="2"/>
      <c r="BN5" s="6"/>
      <c r="BO5" s="2"/>
      <c r="BP5" s="6"/>
      <c r="BQ5" s="2"/>
      <c r="BR5" s="6"/>
      <c r="BS5" s="2"/>
      <c r="BT5" s="6"/>
      <c r="BU5" s="2"/>
      <c r="BV5" s="6"/>
      <c r="BW5" s="2"/>
      <c r="BX5" s="6"/>
      <c r="BY5" s="2"/>
      <c r="BZ5" s="6"/>
      <c r="CA5" s="2"/>
      <c r="CB5" s="6"/>
      <c r="CC5" s="2"/>
      <c r="CD5" s="6"/>
      <c r="CE5" s="2"/>
      <c r="CF5" s="6"/>
      <c r="CG5" s="2"/>
      <c r="CH5" s="6"/>
      <c r="CI5" s="2"/>
      <c r="CJ5" s="6"/>
      <c r="CK5" s="2"/>
      <c r="CL5" s="6"/>
      <c r="CM5" s="2"/>
      <c r="CN5" s="6"/>
      <c r="CO5" s="2"/>
      <c r="CP5" s="6"/>
      <c r="CQ5" s="2"/>
      <c r="CR5" s="6"/>
      <c r="CS5" s="2"/>
      <c r="CT5" s="6"/>
      <c r="CU5" s="2"/>
      <c r="CV5" s="6"/>
      <c r="CW5" s="2"/>
      <c r="CX5" s="6"/>
      <c r="CY5" s="2"/>
      <c r="CZ5" s="6"/>
      <c r="DA5" s="2"/>
      <c r="DB5" s="6"/>
      <c r="DC5" s="2"/>
      <c r="DD5" s="6"/>
      <c r="DE5" s="2"/>
      <c r="DF5" s="6"/>
      <c r="DG5" s="2"/>
      <c r="DH5" s="6"/>
      <c r="DI5" s="2"/>
      <c r="DJ5" s="6"/>
      <c r="DK5" s="2"/>
      <c r="DL5" s="6"/>
    </row>
    <row r="6" spans="1:116" x14ac:dyDescent="0.3">
      <c r="A6" s="2" t="s">
        <v>62</v>
      </c>
      <c r="B6" s="3" t="s">
        <v>63</v>
      </c>
      <c r="C6" s="3" t="s">
        <v>171</v>
      </c>
      <c r="D6" s="3" t="s">
        <v>112</v>
      </c>
      <c r="E6" s="3" t="s">
        <v>171</v>
      </c>
      <c r="F6" s="3" t="s">
        <v>112</v>
      </c>
      <c r="G6" s="3"/>
      <c r="H6" s="6">
        <f>SUMIF('Sunglasses BOM'!C4:C81,A6,'Sunglasses BOM'!E4:E81)</f>
        <v>50400</v>
      </c>
      <c r="I6" s="32" cm="1">
        <f t="array" ref="I6">SUMPRODUCT((MOD(COLUMN($P6:$FU6)-COLUMN($P6),2)=0)*($P6:$FU6))</f>
        <v>0</v>
      </c>
      <c r="J6" s="9">
        <f t="shared" si="49"/>
        <v>50400</v>
      </c>
      <c r="K6" s="42">
        <f>'Final Processes daily output'!$F$27</f>
        <v>30240</v>
      </c>
      <c r="L6" s="22">
        <f>_xlfn.XLOOKUP(A6,'Pad Printing DPR - PP'!$A$4:$A$27,'Pad Printing DPR - PP'!$I$4:$I$27)</f>
        <v>0</v>
      </c>
      <c r="M6" s="23">
        <f t="shared" si="50"/>
        <v>0</v>
      </c>
      <c r="N6" s="54">
        <f t="shared" si="51"/>
        <v>1.6666666666666667</v>
      </c>
      <c r="O6" s="2"/>
      <c r="P6" s="6"/>
      <c r="Q6" s="2"/>
      <c r="R6" s="6"/>
      <c r="S6" s="2"/>
      <c r="T6" s="6"/>
      <c r="U6" s="2"/>
      <c r="V6" s="6"/>
      <c r="W6" s="2"/>
      <c r="X6" s="6"/>
      <c r="Y6" s="2"/>
      <c r="Z6" s="6"/>
      <c r="AA6" s="2"/>
      <c r="AB6" s="6"/>
      <c r="AC6" s="2"/>
      <c r="AD6" s="6"/>
      <c r="AE6" s="2"/>
      <c r="AF6" s="6"/>
      <c r="AG6" s="2"/>
      <c r="AH6" s="6"/>
      <c r="AI6" s="2"/>
      <c r="AJ6" s="6"/>
      <c r="AK6" s="2"/>
      <c r="AL6" s="6"/>
      <c r="AM6" s="2"/>
      <c r="AN6" s="6"/>
      <c r="AO6" s="2"/>
      <c r="AP6" s="6"/>
      <c r="AQ6" s="2"/>
      <c r="AR6" s="6"/>
      <c r="AS6" s="2"/>
      <c r="AT6" s="6"/>
      <c r="AU6" s="2"/>
      <c r="AV6" s="6"/>
      <c r="AW6" s="2"/>
      <c r="AX6" s="6"/>
      <c r="AY6" s="2"/>
      <c r="AZ6" s="6"/>
      <c r="BA6" s="2"/>
      <c r="BB6" s="6"/>
      <c r="BC6" s="2"/>
      <c r="BD6" s="6"/>
      <c r="BE6" s="2"/>
      <c r="BF6" s="6"/>
      <c r="BG6" s="2"/>
      <c r="BH6" s="6"/>
      <c r="BI6" s="2"/>
      <c r="BJ6" s="6"/>
      <c r="BK6" s="2"/>
      <c r="BL6" s="6"/>
      <c r="BM6" s="2"/>
      <c r="BN6" s="6"/>
      <c r="BO6" s="2"/>
      <c r="BP6" s="6"/>
      <c r="BQ6" s="2"/>
      <c r="BR6" s="6"/>
      <c r="BS6" s="2"/>
      <c r="BT6" s="6"/>
      <c r="BU6" s="2"/>
      <c r="BV6" s="6"/>
      <c r="BW6" s="2"/>
      <c r="BX6" s="6"/>
      <c r="BY6" s="2"/>
      <c r="BZ6" s="6"/>
      <c r="CA6" s="2"/>
      <c r="CB6" s="6"/>
      <c r="CC6" s="2"/>
      <c r="CD6" s="6"/>
      <c r="CE6" s="2"/>
      <c r="CF6" s="6"/>
      <c r="CG6" s="2"/>
      <c r="CH6" s="6"/>
      <c r="CI6" s="2"/>
      <c r="CJ6" s="6"/>
      <c r="CK6" s="2"/>
      <c r="CL6" s="6"/>
      <c r="CM6" s="2"/>
      <c r="CN6" s="6"/>
      <c r="CO6" s="2"/>
      <c r="CP6" s="6"/>
      <c r="CQ6" s="2"/>
      <c r="CR6" s="6"/>
      <c r="CS6" s="2"/>
      <c r="CT6" s="6"/>
      <c r="CU6" s="2"/>
      <c r="CV6" s="6"/>
      <c r="CW6" s="2"/>
      <c r="CX6" s="6"/>
      <c r="CY6" s="2"/>
      <c r="CZ6" s="6"/>
      <c r="DA6" s="2"/>
      <c r="DB6" s="6"/>
      <c r="DC6" s="2"/>
      <c r="DD6" s="6"/>
      <c r="DE6" s="2"/>
      <c r="DF6" s="6"/>
      <c r="DG6" s="2"/>
      <c r="DH6" s="6"/>
      <c r="DI6" s="2"/>
      <c r="DJ6" s="6"/>
      <c r="DK6" s="2"/>
      <c r="DL6" s="6"/>
    </row>
    <row r="7" spans="1:116" x14ac:dyDescent="0.3">
      <c r="A7" s="2" t="s">
        <v>64</v>
      </c>
      <c r="B7" s="3" t="s">
        <v>65</v>
      </c>
      <c r="C7" s="3" t="s">
        <v>172</v>
      </c>
      <c r="D7" s="3" t="s">
        <v>120</v>
      </c>
      <c r="E7" s="3" t="s">
        <v>172</v>
      </c>
      <c r="F7" s="3" t="s">
        <v>120</v>
      </c>
      <c r="G7" s="3" t="s">
        <v>119</v>
      </c>
      <c r="H7" s="6">
        <f>SUMIF('Sunglasses BOM'!C5:C82,A7,'Sunglasses BOM'!E5:E82)</f>
        <v>25200</v>
      </c>
      <c r="I7" s="32" cm="1">
        <f t="array" ref="I7">SUMPRODUCT((MOD(COLUMN($P7:$FU7)-COLUMN($P7),2)=0)*($P7:$FU7))</f>
        <v>0</v>
      </c>
      <c r="J7" s="9">
        <f t="shared" si="49"/>
        <v>25200</v>
      </c>
      <c r="K7" s="42">
        <f>'Final Processes daily output'!$F$27</f>
        <v>30240</v>
      </c>
      <c r="L7" s="22">
        <f>_xlfn.XLOOKUP(A7,'Pad Printing DPR - PP'!$A$4:$A$27,'Pad Printing DPR - PP'!$I$4:$I$27)</f>
        <v>0</v>
      </c>
      <c r="M7" s="23">
        <f t="shared" si="50"/>
        <v>0</v>
      </c>
      <c r="N7" s="54">
        <f t="shared" si="51"/>
        <v>0.83333333333333337</v>
      </c>
      <c r="O7" s="2"/>
      <c r="P7" s="6"/>
      <c r="Q7" s="2"/>
      <c r="R7" s="6"/>
      <c r="S7" s="2"/>
      <c r="T7" s="6"/>
      <c r="U7" s="2"/>
      <c r="V7" s="6"/>
      <c r="W7" s="2"/>
      <c r="X7" s="6"/>
      <c r="Y7" s="2"/>
      <c r="Z7" s="6"/>
      <c r="AA7" s="2"/>
      <c r="AB7" s="6"/>
      <c r="AC7" s="2"/>
      <c r="AD7" s="6"/>
      <c r="AE7" s="2"/>
      <c r="AF7" s="6"/>
      <c r="AG7" s="2"/>
      <c r="AH7" s="6"/>
      <c r="AI7" s="2"/>
      <c r="AJ7" s="6"/>
      <c r="AK7" s="2"/>
      <c r="AL7" s="6"/>
      <c r="AM7" s="2"/>
      <c r="AN7" s="6"/>
      <c r="AO7" s="2"/>
      <c r="AP7" s="6"/>
      <c r="AQ7" s="2"/>
      <c r="AR7" s="6"/>
      <c r="AS7" s="2"/>
      <c r="AT7" s="6"/>
      <c r="AU7" s="2"/>
      <c r="AV7" s="6"/>
      <c r="AW7" s="2"/>
      <c r="AX7" s="6"/>
      <c r="AY7" s="2"/>
      <c r="AZ7" s="6"/>
      <c r="BA7" s="2"/>
      <c r="BB7" s="6"/>
      <c r="BC7" s="2"/>
      <c r="BD7" s="6"/>
      <c r="BE7" s="2"/>
      <c r="BF7" s="6"/>
      <c r="BG7" s="2"/>
      <c r="BH7" s="6"/>
      <c r="BI7" s="2"/>
      <c r="BJ7" s="6"/>
      <c r="BK7" s="2"/>
      <c r="BL7" s="6"/>
      <c r="BM7" s="2"/>
      <c r="BN7" s="6"/>
      <c r="BO7" s="2"/>
      <c r="BP7" s="6"/>
      <c r="BQ7" s="2"/>
      <c r="BR7" s="6"/>
      <c r="BS7" s="2"/>
      <c r="BT7" s="6"/>
      <c r="BU7" s="2"/>
      <c r="BV7" s="6"/>
      <c r="BW7" s="2"/>
      <c r="BX7" s="6"/>
      <c r="BY7" s="2"/>
      <c r="BZ7" s="6"/>
      <c r="CA7" s="2"/>
      <c r="CB7" s="6"/>
      <c r="CC7" s="2"/>
      <c r="CD7" s="6"/>
      <c r="CE7" s="2"/>
      <c r="CF7" s="6"/>
      <c r="CG7" s="2"/>
      <c r="CH7" s="6"/>
      <c r="CI7" s="2"/>
      <c r="CJ7" s="6"/>
      <c r="CK7" s="2"/>
      <c r="CL7" s="6"/>
      <c r="CM7" s="2"/>
      <c r="CN7" s="6"/>
      <c r="CO7" s="2"/>
      <c r="CP7" s="6"/>
      <c r="CQ7" s="2"/>
      <c r="CR7" s="6"/>
      <c r="CS7" s="2"/>
      <c r="CT7" s="6"/>
      <c r="CU7" s="2"/>
      <c r="CV7" s="6"/>
      <c r="CW7" s="2"/>
      <c r="CX7" s="6"/>
      <c r="CY7" s="2"/>
      <c r="CZ7" s="6"/>
      <c r="DA7" s="2"/>
      <c r="DB7" s="6"/>
      <c r="DC7" s="2"/>
      <c r="DD7" s="6"/>
      <c r="DE7" s="2"/>
      <c r="DF7" s="6"/>
      <c r="DG7" s="2"/>
      <c r="DH7" s="6"/>
      <c r="DI7" s="2"/>
      <c r="DJ7" s="6"/>
      <c r="DK7" s="2"/>
      <c r="DL7" s="6"/>
    </row>
    <row r="8" spans="1:116" x14ac:dyDescent="0.3">
      <c r="A8" s="2" t="s">
        <v>66</v>
      </c>
      <c r="B8" s="3" t="s">
        <v>67</v>
      </c>
      <c r="C8" s="3" t="s">
        <v>172</v>
      </c>
      <c r="D8" s="3" t="s">
        <v>120</v>
      </c>
      <c r="E8" s="3" t="s">
        <v>172</v>
      </c>
      <c r="F8" s="3" t="s">
        <v>120</v>
      </c>
      <c r="G8" s="3"/>
      <c r="H8" s="6">
        <f>SUMIF('Sunglasses BOM'!C6:C83,A8,'Sunglasses BOM'!E6:E83)</f>
        <v>25200</v>
      </c>
      <c r="I8" s="32" cm="1">
        <f t="array" ref="I8">SUMPRODUCT((MOD(COLUMN($P8:$FU8)-COLUMN($P8),2)=0)*($P8:$FU8))</f>
        <v>0</v>
      </c>
      <c r="J8" s="9">
        <f t="shared" si="49"/>
        <v>25200</v>
      </c>
      <c r="K8" s="42">
        <f>'Final Processes daily output'!$F$27</f>
        <v>30240</v>
      </c>
      <c r="L8" s="22">
        <f>_xlfn.XLOOKUP(A8,'Pad Printing DPR - PP'!$A$4:$A$27,'Pad Printing DPR - PP'!$I$4:$I$27)</f>
        <v>0</v>
      </c>
      <c r="M8" s="23">
        <f t="shared" si="50"/>
        <v>0</v>
      </c>
      <c r="N8" s="54">
        <f t="shared" si="51"/>
        <v>0.83333333333333337</v>
      </c>
      <c r="O8" s="2"/>
      <c r="P8" s="6"/>
      <c r="Q8" s="2"/>
      <c r="R8" s="6"/>
      <c r="S8" s="2"/>
      <c r="T8" s="6"/>
      <c r="U8" s="2"/>
      <c r="V8" s="6"/>
      <c r="W8" s="2"/>
      <c r="X8" s="6"/>
      <c r="Y8" s="2"/>
      <c r="Z8" s="6"/>
      <c r="AA8" s="2"/>
      <c r="AB8" s="6"/>
      <c r="AC8" s="2"/>
      <c r="AD8" s="6"/>
      <c r="AE8" s="2"/>
      <c r="AF8" s="6"/>
      <c r="AG8" s="2"/>
      <c r="AH8" s="6"/>
      <c r="AI8" s="2"/>
      <c r="AJ8" s="6"/>
      <c r="AK8" s="2"/>
      <c r="AL8" s="6"/>
      <c r="AM8" s="2"/>
      <c r="AN8" s="6"/>
      <c r="AO8" s="2"/>
      <c r="AP8" s="6"/>
      <c r="AQ8" s="2"/>
      <c r="AR8" s="6"/>
      <c r="AS8" s="2"/>
      <c r="AT8" s="6"/>
      <c r="AU8" s="2"/>
      <c r="AV8" s="6"/>
      <c r="AW8" s="2"/>
      <c r="AX8" s="6"/>
      <c r="AY8" s="2"/>
      <c r="AZ8" s="6"/>
      <c r="BA8" s="2"/>
      <c r="BB8" s="6"/>
      <c r="BC8" s="2"/>
      <c r="BD8" s="6"/>
      <c r="BE8" s="2"/>
      <c r="BF8" s="6"/>
      <c r="BG8" s="2"/>
      <c r="BH8" s="6"/>
      <c r="BI8" s="2"/>
      <c r="BJ8" s="6"/>
      <c r="BK8" s="2"/>
      <c r="BL8" s="6"/>
      <c r="BM8" s="2"/>
      <c r="BN8" s="6"/>
      <c r="BO8" s="2"/>
      <c r="BP8" s="6"/>
      <c r="BQ8" s="2"/>
      <c r="BR8" s="6"/>
      <c r="BS8" s="2"/>
      <c r="BT8" s="6"/>
      <c r="BU8" s="2"/>
      <c r="BV8" s="6"/>
      <c r="BW8" s="2"/>
      <c r="BX8" s="6"/>
      <c r="BY8" s="2"/>
      <c r="BZ8" s="6"/>
      <c r="CA8" s="2"/>
      <c r="CB8" s="6"/>
      <c r="CC8" s="2"/>
      <c r="CD8" s="6"/>
      <c r="CE8" s="2"/>
      <c r="CF8" s="6"/>
      <c r="CG8" s="2"/>
      <c r="CH8" s="6"/>
      <c r="CI8" s="2"/>
      <c r="CJ8" s="6"/>
      <c r="CK8" s="2"/>
      <c r="CL8" s="6"/>
      <c r="CM8" s="2"/>
      <c r="CN8" s="6"/>
      <c r="CO8" s="2"/>
      <c r="CP8" s="6"/>
      <c r="CQ8" s="2"/>
      <c r="CR8" s="6"/>
      <c r="CS8" s="2"/>
      <c r="CT8" s="6"/>
      <c r="CU8" s="2"/>
      <c r="CV8" s="6"/>
      <c r="CW8" s="2"/>
      <c r="CX8" s="6"/>
      <c r="CY8" s="2"/>
      <c r="CZ8" s="6"/>
      <c r="DA8" s="2"/>
      <c r="DB8" s="6"/>
      <c r="DC8" s="2"/>
      <c r="DD8" s="6"/>
      <c r="DE8" s="2"/>
      <c r="DF8" s="6"/>
      <c r="DG8" s="2"/>
      <c r="DH8" s="6"/>
      <c r="DI8" s="2"/>
      <c r="DJ8" s="6"/>
      <c r="DK8" s="2"/>
      <c r="DL8" s="6"/>
    </row>
    <row r="9" spans="1:116" x14ac:dyDescent="0.3">
      <c r="A9" s="2" t="s">
        <v>68</v>
      </c>
      <c r="B9" s="3" t="s">
        <v>69</v>
      </c>
      <c r="C9" s="3" t="s">
        <v>173</v>
      </c>
      <c r="D9" s="3" t="s">
        <v>116</v>
      </c>
      <c r="E9" s="3" t="s">
        <v>173</v>
      </c>
      <c r="F9" s="3" t="s">
        <v>116</v>
      </c>
      <c r="G9" s="3" t="s">
        <v>119</v>
      </c>
      <c r="H9" s="6">
        <f>SUMIF('Sunglasses BOM'!C7:C84,A9,'Sunglasses BOM'!E7:E84)</f>
        <v>42000</v>
      </c>
      <c r="I9" s="32" cm="1">
        <f t="array" ref="I9">SUMPRODUCT((MOD(COLUMN($P9:$FU9)-COLUMN($P9),2)=0)*($P9:$FU9))</f>
        <v>0</v>
      </c>
      <c r="J9" s="9">
        <f t="shared" si="49"/>
        <v>42000</v>
      </c>
      <c r="K9" s="42">
        <f>'Final Processes daily output'!$F$27</f>
        <v>30240</v>
      </c>
      <c r="L9" s="22">
        <f>_xlfn.XLOOKUP(A9,'Pad Printing DPR - PP'!$A$4:$A$27,'Pad Printing DPR - PP'!$I$4:$I$27)</f>
        <v>0</v>
      </c>
      <c r="M9" s="23">
        <f t="shared" si="50"/>
        <v>0</v>
      </c>
      <c r="N9" s="54">
        <f t="shared" si="51"/>
        <v>1.3888888888888888</v>
      </c>
      <c r="O9" s="2"/>
      <c r="P9" s="6"/>
      <c r="Q9" s="2"/>
      <c r="R9" s="6"/>
      <c r="S9" s="2"/>
      <c r="T9" s="6"/>
      <c r="U9" s="2"/>
      <c r="V9" s="6"/>
      <c r="W9" s="2"/>
      <c r="X9" s="6"/>
      <c r="Y9" s="2"/>
      <c r="Z9" s="6"/>
      <c r="AA9" s="2"/>
      <c r="AB9" s="6"/>
      <c r="AC9" s="2"/>
      <c r="AD9" s="6"/>
      <c r="AE9" s="2"/>
      <c r="AF9" s="6"/>
      <c r="AG9" s="2"/>
      <c r="AH9" s="6"/>
      <c r="AI9" s="2"/>
      <c r="AJ9" s="6"/>
      <c r="AK9" s="2"/>
      <c r="AL9" s="6"/>
      <c r="AM9" s="2"/>
      <c r="AN9" s="6"/>
      <c r="AO9" s="2"/>
      <c r="AP9" s="6"/>
      <c r="AQ9" s="2"/>
      <c r="AR9" s="6"/>
      <c r="AS9" s="2"/>
      <c r="AT9" s="6"/>
      <c r="AU9" s="2"/>
      <c r="AV9" s="6"/>
      <c r="AW9" s="2"/>
      <c r="AX9" s="6"/>
      <c r="AY9" s="2"/>
      <c r="AZ9" s="6"/>
      <c r="BA9" s="2"/>
      <c r="BB9" s="6"/>
      <c r="BC9" s="2"/>
      <c r="BD9" s="6"/>
      <c r="BE9" s="2"/>
      <c r="BF9" s="6"/>
      <c r="BG9" s="2"/>
      <c r="BH9" s="6"/>
      <c r="BI9" s="2"/>
      <c r="BJ9" s="6"/>
      <c r="BK9" s="2"/>
      <c r="BL9" s="6"/>
      <c r="BM9" s="2"/>
      <c r="BN9" s="6"/>
      <c r="BO9" s="2"/>
      <c r="BP9" s="6"/>
      <c r="BQ9" s="2"/>
      <c r="BR9" s="6"/>
      <c r="BS9" s="2"/>
      <c r="BT9" s="6"/>
      <c r="BU9" s="2"/>
      <c r="BV9" s="6"/>
      <c r="BW9" s="2"/>
      <c r="BX9" s="6"/>
      <c r="BY9" s="2"/>
      <c r="BZ9" s="6"/>
      <c r="CA9" s="2"/>
      <c r="CB9" s="6"/>
      <c r="CC9" s="2"/>
      <c r="CD9" s="6"/>
      <c r="CE9" s="2"/>
      <c r="CF9" s="6"/>
      <c r="CG9" s="2"/>
      <c r="CH9" s="6"/>
      <c r="CI9" s="2"/>
      <c r="CJ9" s="6"/>
      <c r="CK9" s="2"/>
      <c r="CL9" s="6"/>
      <c r="CM9" s="2"/>
      <c r="CN9" s="6"/>
      <c r="CO9" s="2"/>
      <c r="CP9" s="6"/>
      <c r="CQ9" s="2"/>
      <c r="CR9" s="6"/>
      <c r="CS9" s="2"/>
      <c r="CT9" s="6"/>
      <c r="CU9" s="2"/>
      <c r="CV9" s="6"/>
      <c r="CW9" s="2"/>
      <c r="CX9" s="6"/>
      <c r="CY9" s="2"/>
      <c r="CZ9" s="6"/>
      <c r="DA9" s="2"/>
      <c r="DB9" s="6"/>
      <c r="DC9" s="2"/>
      <c r="DD9" s="6"/>
      <c r="DE9" s="2"/>
      <c r="DF9" s="6"/>
      <c r="DG9" s="2"/>
      <c r="DH9" s="6"/>
      <c r="DI9" s="2"/>
      <c r="DJ9" s="6"/>
      <c r="DK9" s="2"/>
      <c r="DL9" s="6"/>
    </row>
    <row r="10" spans="1:116" x14ac:dyDescent="0.3">
      <c r="A10" s="2" t="s">
        <v>70</v>
      </c>
      <c r="B10" s="3" t="s">
        <v>71</v>
      </c>
      <c r="C10" s="3" t="s">
        <v>173</v>
      </c>
      <c r="D10" s="3" t="s">
        <v>116</v>
      </c>
      <c r="E10" s="3" t="s">
        <v>173</v>
      </c>
      <c r="F10" s="3" t="s">
        <v>116</v>
      </c>
      <c r="G10" s="3"/>
      <c r="H10" s="6">
        <f>SUMIF('Sunglasses BOM'!C8:C85,A10,'Sunglasses BOM'!E8:E85)</f>
        <v>42000</v>
      </c>
      <c r="I10" s="32" cm="1">
        <f t="array" ref="I10">SUMPRODUCT((MOD(COLUMN($P10:$FU10)-COLUMN($P10),2)=0)*($P10:$FU10))</f>
        <v>0</v>
      </c>
      <c r="J10" s="9">
        <f t="shared" si="49"/>
        <v>42000</v>
      </c>
      <c r="K10" s="42">
        <f>'Final Processes daily output'!$F$27</f>
        <v>30240</v>
      </c>
      <c r="L10" s="22">
        <f>_xlfn.XLOOKUP(A10,'Pad Printing DPR - PP'!$A$4:$A$27,'Pad Printing DPR - PP'!$I$4:$I$27)</f>
        <v>0</v>
      </c>
      <c r="M10" s="23">
        <f t="shared" si="50"/>
        <v>0</v>
      </c>
      <c r="N10" s="54">
        <f t="shared" si="51"/>
        <v>1.3888888888888888</v>
      </c>
      <c r="O10" s="2"/>
      <c r="P10" s="6"/>
      <c r="Q10" s="2"/>
      <c r="R10" s="6"/>
      <c r="S10" s="2"/>
      <c r="T10" s="6"/>
      <c r="U10" s="2"/>
      <c r="V10" s="6"/>
      <c r="W10" s="2"/>
      <c r="X10" s="6"/>
      <c r="Y10" s="2"/>
      <c r="Z10" s="6"/>
      <c r="AA10" s="2"/>
      <c r="AB10" s="6"/>
      <c r="AC10" s="2"/>
      <c r="AD10" s="6"/>
      <c r="AE10" s="2"/>
      <c r="AF10" s="6"/>
      <c r="AG10" s="2"/>
      <c r="AH10" s="6"/>
      <c r="AI10" s="2"/>
      <c r="AJ10" s="6"/>
      <c r="AK10" s="2"/>
      <c r="AL10" s="6"/>
      <c r="AM10" s="2"/>
      <c r="AN10" s="6"/>
      <c r="AO10" s="2"/>
      <c r="AP10" s="6"/>
      <c r="AQ10" s="2"/>
      <c r="AR10" s="6"/>
      <c r="AS10" s="2"/>
      <c r="AT10" s="6"/>
      <c r="AU10" s="2"/>
      <c r="AV10" s="6"/>
      <c r="AW10" s="2"/>
      <c r="AX10" s="6"/>
      <c r="AY10" s="2"/>
      <c r="AZ10" s="6"/>
      <c r="BA10" s="2"/>
      <c r="BB10" s="6"/>
      <c r="BC10" s="2"/>
      <c r="BD10" s="6"/>
      <c r="BE10" s="2"/>
      <c r="BF10" s="6"/>
      <c r="BG10" s="2"/>
      <c r="BH10" s="6"/>
      <c r="BI10" s="2"/>
      <c r="BJ10" s="6"/>
      <c r="BK10" s="2"/>
      <c r="BL10" s="6"/>
      <c r="BM10" s="2"/>
      <c r="BN10" s="6"/>
      <c r="BO10" s="2"/>
      <c r="BP10" s="6"/>
      <c r="BQ10" s="2"/>
      <c r="BR10" s="6"/>
      <c r="BS10" s="2"/>
      <c r="BT10" s="6"/>
      <c r="BU10" s="2"/>
      <c r="BV10" s="6"/>
      <c r="BW10" s="2"/>
      <c r="BX10" s="6"/>
      <c r="BY10" s="2"/>
      <c r="BZ10" s="6"/>
      <c r="CA10" s="2"/>
      <c r="CB10" s="6"/>
      <c r="CC10" s="2"/>
      <c r="CD10" s="6"/>
      <c r="CE10" s="2"/>
      <c r="CF10" s="6"/>
      <c r="CG10" s="2"/>
      <c r="CH10" s="6"/>
      <c r="CI10" s="2"/>
      <c r="CJ10" s="6"/>
      <c r="CK10" s="2"/>
      <c r="CL10" s="6"/>
      <c r="CM10" s="2"/>
      <c r="CN10" s="6"/>
      <c r="CO10" s="2"/>
      <c r="CP10" s="6"/>
      <c r="CQ10" s="2"/>
      <c r="CR10" s="6"/>
      <c r="CS10" s="2"/>
      <c r="CT10" s="6"/>
      <c r="CU10" s="2"/>
      <c r="CV10" s="6"/>
      <c r="CW10" s="2"/>
      <c r="CX10" s="6"/>
      <c r="CY10" s="2"/>
      <c r="CZ10" s="6"/>
      <c r="DA10" s="2"/>
      <c r="DB10" s="6"/>
      <c r="DC10" s="2"/>
      <c r="DD10" s="6"/>
      <c r="DE10" s="2"/>
      <c r="DF10" s="6"/>
      <c r="DG10" s="2"/>
      <c r="DH10" s="6"/>
      <c r="DI10" s="2"/>
      <c r="DJ10" s="6"/>
      <c r="DK10" s="2"/>
      <c r="DL10" s="6"/>
    </row>
    <row r="11" spans="1:116" ht="15" thickBot="1" x14ac:dyDescent="0.35">
      <c r="A11" s="2" t="s">
        <v>72</v>
      </c>
      <c r="B11" s="3" t="s">
        <v>73</v>
      </c>
      <c r="C11" s="3" t="s">
        <v>113</v>
      </c>
      <c r="D11" s="3" t="s">
        <v>113</v>
      </c>
      <c r="E11" s="3" t="s">
        <v>113</v>
      </c>
      <c r="F11" s="3" t="s">
        <v>113</v>
      </c>
      <c r="G11" s="3" t="s">
        <v>119</v>
      </c>
      <c r="H11" s="6">
        <f>SUMIF('Sunglasses BOM'!C9:C86,A11,'Sunglasses BOM'!E9:E86)</f>
        <v>33600</v>
      </c>
      <c r="I11" s="32" cm="1">
        <f t="array" ref="I11">SUMPRODUCT((MOD(COLUMN($P11:$FU11)-COLUMN($P11),2)=0)*($P11:$FU11))</f>
        <v>0</v>
      </c>
      <c r="J11" s="10">
        <f t="shared" si="49"/>
        <v>33600</v>
      </c>
      <c r="K11" s="42">
        <f>'Final Processes daily output'!$F$27</f>
        <v>30240</v>
      </c>
      <c r="L11" s="22">
        <f>_xlfn.XLOOKUP(A11,'Pad Printing DPR - PP'!$A$4:$A$27,'Pad Printing DPR - PP'!$I$4:$I$27)</f>
        <v>0</v>
      </c>
      <c r="M11" s="23">
        <f t="shared" si="50"/>
        <v>0</v>
      </c>
      <c r="N11" s="55">
        <f t="shared" si="51"/>
        <v>1.1111111111111112</v>
      </c>
      <c r="O11" s="4"/>
      <c r="P11" s="7"/>
      <c r="Q11" s="4"/>
      <c r="R11" s="7"/>
      <c r="S11" s="4"/>
      <c r="T11" s="7"/>
      <c r="U11" s="4"/>
      <c r="V11" s="7"/>
      <c r="W11" s="4"/>
      <c r="X11" s="7"/>
      <c r="Y11" s="4"/>
      <c r="Z11" s="7"/>
      <c r="AA11" s="4"/>
      <c r="AB11" s="7"/>
      <c r="AC11" s="4"/>
      <c r="AD11" s="7"/>
      <c r="AE11" s="4"/>
      <c r="AF11" s="7"/>
      <c r="AG11" s="4"/>
      <c r="AH11" s="7"/>
      <c r="AI11" s="4"/>
      <c r="AJ11" s="7"/>
      <c r="AK11" s="4"/>
      <c r="AL11" s="7"/>
      <c r="AM11" s="4"/>
      <c r="AN11" s="7"/>
      <c r="AO11" s="4"/>
      <c r="AP11" s="7"/>
      <c r="AQ11" s="4"/>
      <c r="AR11" s="7"/>
      <c r="AS11" s="4"/>
      <c r="AT11" s="7"/>
      <c r="AU11" s="4"/>
      <c r="AV11" s="7"/>
      <c r="AW11" s="4"/>
      <c r="AX11" s="7"/>
      <c r="AY11" s="4"/>
      <c r="AZ11" s="7"/>
      <c r="BA11" s="4"/>
      <c r="BB11" s="7"/>
      <c r="BC11" s="4"/>
      <c r="BD11" s="7"/>
      <c r="BE11" s="4"/>
      <c r="BF11" s="7"/>
      <c r="BG11" s="4"/>
      <c r="BH11" s="7"/>
      <c r="BI11" s="4"/>
      <c r="BJ11" s="7"/>
      <c r="BK11" s="4"/>
      <c r="BL11" s="7"/>
      <c r="BM11" s="4"/>
      <c r="BN11" s="7"/>
      <c r="BO11" s="4"/>
      <c r="BP11" s="7"/>
      <c r="BQ11" s="4"/>
      <c r="BR11" s="7"/>
      <c r="BS11" s="4"/>
      <c r="BT11" s="7"/>
      <c r="BU11" s="4"/>
      <c r="BV11" s="7"/>
      <c r="BW11" s="4"/>
      <c r="BX11" s="7"/>
      <c r="BY11" s="4"/>
      <c r="BZ11" s="7"/>
      <c r="CA11" s="4"/>
      <c r="CB11" s="7"/>
      <c r="CC11" s="4"/>
      <c r="CD11" s="7"/>
      <c r="CE11" s="4"/>
      <c r="CF11" s="7"/>
      <c r="CG11" s="4"/>
      <c r="CH11" s="7"/>
      <c r="CI11" s="4"/>
      <c r="CJ11" s="7"/>
      <c r="CK11" s="4"/>
      <c r="CL11" s="7"/>
      <c r="CM11" s="4"/>
      <c r="CN11" s="7"/>
      <c r="CO11" s="4"/>
      <c r="CP11" s="7"/>
      <c r="CQ11" s="4"/>
      <c r="CR11" s="7"/>
      <c r="CS11" s="4"/>
      <c r="CT11" s="7"/>
      <c r="CU11" s="4"/>
      <c r="CV11" s="7"/>
      <c r="CW11" s="4"/>
      <c r="CX11" s="7"/>
      <c r="CY11" s="4"/>
      <c r="CZ11" s="7"/>
      <c r="DA11" s="4"/>
      <c r="DB11" s="7"/>
      <c r="DC11" s="4"/>
      <c r="DD11" s="7"/>
      <c r="DE11" s="4"/>
      <c r="DF11" s="7"/>
      <c r="DG11" s="4"/>
      <c r="DH11" s="7"/>
      <c r="DI11" s="4"/>
      <c r="DJ11" s="7"/>
      <c r="DK11" s="4"/>
      <c r="DL11" s="7"/>
    </row>
    <row r="12" spans="1:116" ht="15" thickBot="1" x14ac:dyDescent="0.35">
      <c r="A12" s="2" t="s">
        <v>74</v>
      </c>
      <c r="B12" s="3" t="s">
        <v>75</v>
      </c>
      <c r="C12" s="3" t="s">
        <v>113</v>
      </c>
      <c r="D12" s="3" t="s">
        <v>113</v>
      </c>
      <c r="E12" s="3" t="s">
        <v>113</v>
      </c>
      <c r="F12" s="3" t="s">
        <v>113</v>
      </c>
      <c r="G12" s="3"/>
      <c r="H12" s="6">
        <f>SUMIF('Sunglasses BOM'!C10:C87,A12,'Sunglasses BOM'!E10:E87)</f>
        <v>42000</v>
      </c>
      <c r="I12" s="32" cm="1">
        <f t="array" ref="I12">SUMPRODUCT((MOD(COLUMN($P12:$FU12)-COLUMN($P12),2)=0)*($P12:$FU12))</f>
        <v>0</v>
      </c>
      <c r="J12" s="10">
        <f t="shared" si="49"/>
        <v>42000</v>
      </c>
      <c r="K12" s="42">
        <f>'Final Processes daily output'!$F$27</f>
        <v>30240</v>
      </c>
      <c r="L12" s="22">
        <f>_xlfn.XLOOKUP(A12,'Pad Printing DPR - PP'!$A$4:$A$27,'Pad Printing DPR - PP'!$I$4:$I$27)</f>
        <v>0</v>
      </c>
      <c r="M12" s="23">
        <f t="shared" si="50"/>
        <v>0</v>
      </c>
      <c r="N12" s="55">
        <f t="shared" si="51"/>
        <v>1.3888888888888888</v>
      </c>
      <c r="O12" s="4"/>
      <c r="P12" s="7"/>
      <c r="Q12" s="4"/>
      <c r="R12" s="7"/>
      <c r="S12" s="4"/>
      <c r="T12" s="7"/>
      <c r="U12" s="4"/>
      <c r="V12" s="7"/>
      <c r="W12" s="4"/>
      <c r="X12" s="7"/>
      <c r="Y12" s="4"/>
      <c r="Z12" s="7"/>
      <c r="AA12" s="4"/>
      <c r="AB12" s="7"/>
      <c r="AC12" s="4"/>
      <c r="AD12" s="7"/>
      <c r="AE12" s="4"/>
      <c r="AF12" s="7"/>
      <c r="AG12" s="4"/>
      <c r="AH12" s="7"/>
      <c r="AI12" s="4"/>
      <c r="AJ12" s="7"/>
      <c r="AK12" s="4"/>
      <c r="AL12" s="7"/>
      <c r="AM12" s="4"/>
      <c r="AN12" s="7"/>
      <c r="AO12" s="4"/>
      <c r="AP12" s="7"/>
      <c r="AQ12" s="4"/>
      <c r="AR12" s="7"/>
      <c r="AS12" s="4"/>
      <c r="AT12" s="7"/>
      <c r="AU12" s="4"/>
      <c r="AV12" s="7"/>
      <c r="AW12" s="4"/>
      <c r="AX12" s="7"/>
      <c r="AY12" s="4"/>
      <c r="AZ12" s="7"/>
      <c r="BA12" s="4"/>
      <c r="BB12" s="7"/>
      <c r="BC12" s="4"/>
      <c r="BD12" s="7"/>
      <c r="BE12" s="4"/>
      <c r="BF12" s="7"/>
      <c r="BG12" s="4"/>
      <c r="BH12" s="7"/>
      <c r="BI12" s="4"/>
      <c r="BJ12" s="7"/>
      <c r="BK12" s="4"/>
      <c r="BL12" s="7"/>
      <c r="BM12" s="4"/>
      <c r="BN12" s="7"/>
      <c r="BO12" s="4"/>
      <c r="BP12" s="7"/>
      <c r="BQ12" s="4"/>
      <c r="BR12" s="7"/>
      <c r="BS12" s="4"/>
      <c r="BT12" s="7"/>
      <c r="BU12" s="4"/>
      <c r="BV12" s="7"/>
      <c r="BW12" s="4"/>
      <c r="BX12" s="7"/>
      <c r="BY12" s="4"/>
      <c r="BZ12" s="7"/>
      <c r="CA12" s="4"/>
      <c r="CB12" s="7"/>
      <c r="CC12" s="4"/>
      <c r="CD12" s="7"/>
      <c r="CE12" s="4"/>
      <c r="CF12" s="7"/>
      <c r="CG12" s="4"/>
      <c r="CH12" s="7"/>
      <c r="CI12" s="4"/>
      <c r="CJ12" s="7"/>
      <c r="CK12" s="4"/>
      <c r="CL12" s="7"/>
      <c r="CM12" s="4"/>
      <c r="CN12" s="7"/>
      <c r="CO12" s="4"/>
      <c r="CP12" s="7"/>
      <c r="CQ12" s="4"/>
      <c r="CR12" s="7"/>
      <c r="CS12" s="4"/>
      <c r="CT12" s="7"/>
      <c r="CU12" s="4"/>
      <c r="CV12" s="7"/>
      <c r="CW12" s="4"/>
      <c r="CX12" s="7"/>
      <c r="CY12" s="4"/>
      <c r="CZ12" s="7"/>
      <c r="DA12" s="4"/>
      <c r="DB12" s="7"/>
      <c r="DC12" s="4"/>
      <c r="DD12" s="7"/>
      <c r="DE12" s="4"/>
      <c r="DF12" s="7"/>
      <c r="DG12" s="4"/>
      <c r="DH12" s="7"/>
      <c r="DI12" s="4"/>
      <c r="DJ12" s="7"/>
      <c r="DK12" s="4"/>
      <c r="DL12" s="7"/>
    </row>
    <row r="13" spans="1:116" ht="15" thickBot="1" x14ac:dyDescent="0.35">
      <c r="A13" s="2" t="s">
        <v>76</v>
      </c>
      <c r="B13" s="3" t="s">
        <v>77</v>
      </c>
      <c r="C13" s="3" t="s">
        <v>170</v>
      </c>
      <c r="D13" s="3" t="s">
        <v>111</v>
      </c>
      <c r="E13" s="3" t="s">
        <v>174</v>
      </c>
      <c r="F13" s="3" t="s">
        <v>121</v>
      </c>
      <c r="G13" s="3"/>
      <c r="H13" s="6">
        <f>SUMIF('Sunglasses BOM'!C11:C88,A13,'Sunglasses BOM'!E11:E88)</f>
        <v>8400</v>
      </c>
      <c r="I13" s="32" cm="1">
        <f t="array" ref="I13">SUMPRODUCT((MOD(COLUMN($P13:$FU13)-COLUMN($P13),2)=0)*($P13:$FU13))</f>
        <v>0</v>
      </c>
      <c r="J13" s="10">
        <f t="shared" si="49"/>
        <v>8400</v>
      </c>
      <c r="K13" s="42">
        <f>'Final Processes daily output'!$F$27</f>
        <v>30240</v>
      </c>
      <c r="L13" s="22">
        <f>_xlfn.XLOOKUP(A13,'Pad Printing DPR - PP'!$A$4:$A$27,'Pad Printing DPR - PP'!$I$4:$I$27)</f>
        <v>0</v>
      </c>
      <c r="M13" s="23">
        <f t="shared" si="50"/>
        <v>0</v>
      </c>
      <c r="N13" s="55">
        <f t="shared" si="51"/>
        <v>0.27777777777777779</v>
      </c>
      <c r="O13" s="4"/>
      <c r="P13" s="7"/>
      <c r="Q13" s="4"/>
      <c r="R13" s="7"/>
      <c r="S13" s="4"/>
      <c r="T13" s="7"/>
      <c r="U13" s="4"/>
      <c r="V13" s="7"/>
      <c r="W13" s="4"/>
      <c r="X13" s="7"/>
      <c r="Y13" s="4"/>
      <c r="Z13" s="7"/>
      <c r="AA13" s="4"/>
      <c r="AB13" s="7"/>
      <c r="AC13" s="4"/>
      <c r="AD13" s="7"/>
      <c r="AE13" s="4"/>
      <c r="AF13" s="7"/>
      <c r="AG13" s="4"/>
      <c r="AH13" s="7"/>
      <c r="AI13" s="4"/>
      <c r="AJ13" s="7"/>
      <c r="AK13" s="4"/>
      <c r="AL13" s="7"/>
      <c r="AM13" s="4"/>
      <c r="AN13" s="7"/>
      <c r="AO13" s="4"/>
      <c r="AP13" s="7"/>
      <c r="AQ13" s="4"/>
      <c r="AR13" s="7"/>
      <c r="AS13" s="4"/>
      <c r="AT13" s="7"/>
      <c r="AU13" s="4"/>
      <c r="AV13" s="7"/>
      <c r="AW13" s="4"/>
      <c r="AX13" s="7"/>
      <c r="AY13" s="4"/>
      <c r="AZ13" s="7"/>
      <c r="BA13" s="4"/>
      <c r="BB13" s="7"/>
      <c r="BC13" s="4"/>
      <c r="BD13" s="7"/>
      <c r="BE13" s="4"/>
      <c r="BF13" s="7"/>
      <c r="BG13" s="4"/>
      <c r="BH13" s="7"/>
      <c r="BI13" s="4"/>
      <c r="BJ13" s="7"/>
      <c r="BK13" s="4"/>
      <c r="BL13" s="7"/>
      <c r="BM13" s="4"/>
      <c r="BN13" s="7"/>
      <c r="BO13" s="4"/>
      <c r="BP13" s="7"/>
      <c r="BQ13" s="4"/>
      <c r="BR13" s="7"/>
      <c r="BS13" s="4"/>
      <c r="BT13" s="7"/>
      <c r="BU13" s="4"/>
      <c r="BV13" s="7"/>
      <c r="BW13" s="4"/>
      <c r="BX13" s="7"/>
      <c r="BY13" s="4"/>
      <c r="BZ13" s="7"/>
      <c r="CA13" s="4"/>
      <c r="CB13" s="7"/>
      <c r="CC13" s="4"/>
      <c r="CD13" s="7"/>
      <c r="CE13" s="4"/>
      <c r="CF13" s="7"/>
      <c r="CG13" s="4"/>
      <c r="CH13" s="7"/>
      <c r="CI13" s="4"/>
      <c r="CJ13" s="7"/>
      <c r="CK13" s="4"/>
      <c r="CL13" s="7"/>
      <c r="CM13" s="4"/>
      <c r="CN13" s="7"/>
      <c r="CO13" s="4"/>
      <c r="CP13" s="7"/>
      <c r="CQ13" s="4"/>
      <c r="CR13" s="7"/>
      <c r="CS13" s="4"/>
      <c r="CT13" s="7"/>
      <c r="CU13" s="4"/>
      <c r="CV13" s="7"/>
      <c r="CW13" s="4"/>
      <c r="CX13" s="7"/>
      <c r="CY13" s="4"/>
      <c r="CZ13" s="7"/>
      <c r="DA13" s="4"/>
      <c r="DB13" s="7"/>
      <c r="DC13" s="4"/>
      <c r="DD13" s="7"/>
      <c r="DE13" s="4"/>
      <c r="DF13" s="7"/>
      <c r="DG13" s="4"/>
      <c r="DH13" s="7"/>
      <c r="DI13" s="4"/>
      <c r="DJ13" s="7"/>
      <c r="DK13" s="4"/>
      <c r="DL13" s="7"/>
    </row>
    <row r="14" spans="1:116" ht="15" thickBot="1" x14ac:dyDescent="0.35">
      <c r="A14" s="2" t="s">
        <v>78</v>
      </c>
      <c r="B14" s="3" t="s">
        <v>79</v>
      </c>
      <c r="C14" s="3" t="s">
        <v>175</v>
      </c>
      <c r="D14" s="3" t="s">
        <v>122</v>
      </c>
      <c r="E14" s="3" t="s">
        <v>175</v>
      </c>
      <c r="F14" s="3" t="s">
        <v>122</v>
      </c>
      <c r="G14" s="3"/>
      <c r="H14" s="6">
        <f>SUMIF('Sunglasses BOM'!C12:C89,A14,'Sunglasses BOM'!E12:E89)</f>
        <v>8400</v>
      </c>
      <c r="I14" s="32" cm="1">
        <f t="array" ref="I14">SUMPRODUCT((MOD(COLUMN($P14:$FU14)-COLUMN($P14),2)=0)*($P14:$FU14))</f>
        <v>0</v>
      </c>
      <c r="J14" s="10">
        <f t="shared" si="49"/>
        <v>8400</v>
      </c>
      <c r="K14" s="42">
        <f>'Final Processes daily output'!$F$27</f>
        <v>30240</v>
      </c>
      <c r="L14" s="22">
        <f>_xlfn.XLOOKUP(A14,'Pad Printing DPR - PP'!$A$4:$A$27,'Pad Printing DPR - PP'!$I$4:$I$27)</f>
        <v>0</v>
      </c>
      <c r="M14" s="23">
        <f t="shared" si="50"/>
        <v>0</v>
      </c>
      <c r="N14" s="55">
        <f t="shared" si="51"/>
        <v>0.27777777777777779</v>
      </c>
      <c r="O14" s="4"/>
      <c r="P14" s="7"/>
      <c r="Q14" s="4"/>
      <c r="R14" s="7"/>
      <c r="S14" s="4"/>
      <c r="T14" s="7"/>
      <c r="U14" s="4"/>
      <c r="V14" s="7"/>
      <c r="W14" s="4"/>
      <c r="X14" s="7"/>
      <c r="Y14" s="4"/>
      <c r="Z14" s="7"/>
      <c r="AA14" s="4"/>
      <c r="AB14" s="7"/>
      <c r="AC14" s="4"/>
      <c r="AD14" s="7"/>
      <c r="AE14" s="4"/>
      <c r="AF14" s="7"/>
      <c r="AG14" s="4"/>
      <c r="AH14" s="7"/>
      <c r="AI14" s="4"/>
      <c r="AJ14" s="7"/>
      <c r="AK14" s="4"/>
      <c r="AL14" s="7"/>
      <c r="AM14" s="4"/>
      <c r="AN14" s="7"/>
      <c r="AO14" s="4"/>
      <c r="AP14" s="7"/>
      <c r="AQ14" s="4"/>
      <c r="AR14" s="7"/>
      <c r="AS14" s="4"/>
      <c r="AT14" s="7"/>
      <c r="AU14" s="4"/>
      <c r="AV14" s="7"/>
      <c r="AW14" s="4"/>
      <c r="AX14" s="7"/>
      <c r="AY14" s="4"/>
      <c r="AZ14" s="7"/>
      <c r="BA14" s="4"/>
      <c r="BB14" s="7"/>
      <c r="BC14" s="4"/>
      <c r="BD14" s="7"/>
      <c r="BE14" s="4"/>
      <c r="BF14" s="7"/>
      <c r="BG14" s="4"/>
      <c r="BH14" s="7"/>
      <c r="BI14" s="4"/>
      <c r="BJ14" s="7"/>
      <c r="BK14" s="4"/>
      <c r="BL14" s="7"/>
      <c r="BM14" s="4"/>
      <c r="BN14" s="7"/>
      <c r="BO14" s="4"/>
      <c r="BP14" s="7"/>
      <c r="BQ14" s="4"/>
      <c r="BR14" s="7"/>
      <c r="BS14" s="4"/>
      <c r="BT14" s="7"/>
      <c r="BU14" s="4"/>
      <c r="BV14" s="7"/>
      <c r="BW14" s="4"/>
      <c r="BX14" s="7"/>
      <c r="BY14" s="4"/>
      <c r="BZ14" s="7"/>
      <c r="CA14" s="4"/>
      <c r="CB14" s="7"/>
      <c r="CC14" s="4"/>
      <c r="CD14" s="7"/>
      <c r="CE14" s="4"/>
      <c r="CF14" s="7"/>
      <c r="CG14" s="4"/>
      <c r="CH14" s="7"/>
      <c r="CI14" s="4"/>
      <c r="CJ14" s="7"/>
      <c r="CK14" s="4"/>
      <c r="CL14" s="7"/>
      <c r="CM14" s="4"/>
      <c r="CN14" s="7"/>
      <c r="CO14" s="4"/>
      <c r="CP14" s="7"/>
      <c r="CQ14" s="4"/>
      <c r="CR14" s="7"/>
      <c r="CS14" s="4"/>
      <c r="CT14" s="7"/>
      <c r="CU14" s="4"/>
      <c r="CV14" s="7"/>
      <c r="CW14" s="4"/>
      <c r="CX14" s="7"/>
      <c r="CY14" s="4"/>
      <c r="CZ14" s="7"/>
      <c r="DA14" s="4"/>
      <c r="DB14" s="7"/>
      <c r="DC14" s="4"/>
      <c r="DD14" s="7"/>
      <c r="DE14" s="4"/>
      <c r="DF14" s="7"/>
      <c r="DG14" s="4"/>
      <c r="DH14" s="7"/>
      <c r="DI14" s="4"/>
      <c r="DJ14" s="7"/>
      <c r="DK14" s="4"/>
      <c r="DL14" s="7"/>
    </row>
    <row r="15" spans="1:116" ht="15" thickBot="1" x14ac:dyDescent="0.35">
      <c r="A15" s="2" t="s">
        <v>80</v>
      </c>
      <c r="B15" s="3" t="s">
        <v>81</v>
      </c>
      <c r="C15" s="3" t="s">
        <v>176</v>
      </c>
      <c r="D15" s="3" t="s">
        <v>115</v>
      </c>
      <c r="E15" s="3" t="s">
        <v>176</v>
      </c>
      <c r="F15" s="3" t="s">
        <v>115</v>
      </c>
      <c r="G15" s="3" t="s">
        <v>119</v>
      </c>
      <c r="H15" s="6">
        <f>SUMIF('Sunglasses BOM'!C13:C90,A15,'Sunglasses BOM'!E13:E90)</f>
        <v>16800</v>
      </c>
      <c r="I15" s="32" cm="1">
        <f t="array" ref="I15">SUMPRODUCT((MOD(COLUMN($P15:$FU15)-COLUMN($P15),2)=0)*($P15:$FU15))</f>
        <v>0</v>
      </c>
      <c r="J15" s="10">
        <f t="shared" si="49"/>
        <v>16800</v>
      </c>
      <c r="K15" s="42">
        <f>'Final Processes daily output'!$F$27</f>
        <v>30240</v>
      </c>
      <c r="L15" s="22">
        <f>_xlfn.XLOOKUP(A15,'Pad Printing DPR - PP'!$A$4:$A$27,'Pad Printing DPR - PP'!$I$4:$I$27)</f>
        <v>0</v>
      </c>
      <c r="M15" s="23">
        <f t="shared" si="50"/>
        <v>0</v>
      </c>
      <c r="N15" s="55">
        <f t="shared" si="51"/>
        <v>0.55555555555555558</v>
      </c>
      <c r="O15" s="4"/>
      <c r="P15" s="7"/>
      <c r="Q15" s="4"/>
      <c r="R15" s="7"/>
      <c r="S15" s="4"/>
      <c r="T15" s="7"/>
      <c r="U15" s="4"/>
      <c r="V15" s="7"/>
      <c r="W15" s="4"/>
      <c r="X15" s="7"/>
      <c r="Y15" s="4"/>
      <c r="Z15" s="7"/>
      <c r="AA15" s="4"/>
      <c r="AB15" s="7"/>
      <c r="AC15" s="4"/>
      <c r="AD15" s="7"/>
      <c r="AE15" s="4"/>
      <c r="AF15" s="7"/>
      <c r="AG15" s="4"/>
      <c r="AH15" s="7"/>
      <c r="AI15" s="4"/>
      <c r="AJ15" s="7"/>
      <c r="AK15" s="4"/>
      <c r="AL15" s="7"/>
      <c r="AM15" s="4"/>
      <c r="AN15" s="7"/>
      <c r="AO15" s="4"/>
      <c r="AP15" s="7"/>
      <c r="AQ15" s="4"/>
      <c r="AR15" s="7"/>
      <c r="AS15" s="4"/>
      <c r="AT15" s="7"/>
      <c r="AU15" s="4"/>
      <c r="AV15" s="7"/>
      <c r="AW15" s="4"/>
      <c r="AX15" s="7"/>
      <c r="AY15" s="4"/>
      <c r="AZ15" s="7"/>
      <c r="BA15" s="4"/>
      <c r="BB15" s="7"/>
      <c r="BC15" s="4"/>
      <c r="BD15" s="7"/>
      <c r="BE15" s="4"/>
      <c r="BF15" s="7"/>
      <c r="BG15" s="4"/>
      <c r="BH15" s="7"/>
      <c r="BI15" s="4"/>
      <c r="BJ15" s="7"/>
      <c r="BK15" s="4"/>
      <c r="BL15" s="7"/>
      <c r="BM15" s="4"/>
      <c r="BN15" s="7"/>
      <c r="BO15" s="4"/>
      <c r="BP15" s="7"/>
      <c r="BQ15" s="4"/>
      <c r="BR15" s="7"/>
      <c r="BS15" s="4"/>
      <c r="BT15" s="7"/>
      <c r="BU15" s="4"/>
      <c r="BV15" s="7"/>
      <c r="BW15" s="4"/>
      <c r="BX15" s="7"/>
      <c r="BY15" s="4"/>
      <c r="BZ15" s="7"/>
      <c r="CA15" s="4"/>
      <c r="CB15" s="7"/>
      <c r="CC15" s="4"/>
      <c r="CD15" s="7"/>
      <c r="CE15" s="4"/>
      <c r="CF15" s="7"/>
      <c r="CG15" s="4"/>
      <c r="CH15" s="7"/>
      <c r="CI15" s="4"/>
      <c r="CJ15" s="7"/>
      <c r="CK15" s="4"/>
      <c r="CL15" s="7"/>
      <c r="CM15" s="4"/>
      <c r="CN15" s="7"/>
      <c r="CO15" s="4"/>
      <c r="CP15" s="7"/>
      <c r="CQ15" s="4"/>
      <c r="CR15" s="7"/>
      <c r="CS15" s="4"/>
      <c r="CT15" s="7"/>
      <c r="CU15" s="4"/>
      <c r="CV15" s="7"/>
      <c r="CW15" s="4"/>
      <c r="CX15" s="7"/>
      <c r="CY15" s="4"/>
      <c r="CZ15" s="7"/>
      <c r="DA15" s="4"/>
      <c r="DB15" s="7"/>
      <c r="DC15" s="4"/>
      <c r="DD15" s="7"/>
      <c r="DE15" s="4"/>
      <c r="DF15" s="7"/>
      <c r="DG15" s="4"/>
      <c r="DH15" s="7"/>
      <c r="DI15" s="4"/>
      <c r="DJ15" s="7"/>
      <c r="DK15" s="4"/>
      <c r="DL15" s="7"/>
    </row>
    <row r="16" spans="1:116" ht="15" thickBot="1" x14ac:dyDescent="0.35">
      <c r="A16" s="2" t="s">
        <v>82</v>
      </c>
      <c r="B16" s="3" t="s">
        <v>83</v>
      </c>
      <c r="C16" s="3" t="s">
        <v>176</v>
      </c>
      <c r="D16" s="3" t="s">
        <v>115</v>
      </c>
      <c r="E16" s="3" t="s">
        <v>176</v>
      </c>
      <c r="F16" s="3" t="s">
        <v>115</v>
      </c>
      <c r="G16" s="3"/>
      <c r="H16" s="6">
        <f>SUMIF('Sunglasses BOM'!C14:C91,A16,'Sunglasses BOM'!E14:E91)</f>
        <v>25200</v>
      </c>
      <c r="I16" s="32" cm="1">
        <f t="array" ref="I16">SUMPRODUCT((MOD(COLUMN($P16:$FU16)-COLUMN($P16),2)=0)*($P16:$FU16))</f>
        <v>0</v>
      </c>
      <c r="J16" s="10">
        <f t="shared" si="49"/>
        <v>25200</v>
      </c>
      <c r="K16" s="42">
        <f>'Final Processes daily output'!$F$27</f>
        <v>30240</v>
      </c>
      <c r="L16" s="22">
        <f>_xlfn.XLOOKUP(A16,'Pad Printing DPR - PP'!$A$4:$A$27,'Pad Printing DPR - PP'!$I$4:$I$27)</f>
        <v>0</v>
      </c>
      <c r="M16" s="23">
        <f t="shared" si="50"/>
        <v>0</v>
      </c>
      <c r="N16" s="55">
        <f t="shared" si="51"/>
        <v>0.83333333333333337</v>
      </c>
      <c r="O16" s="4"/>
      <c r="P16" s="7"/>
      <c r="Q16" s="4"/>
      <c r="R16" s="7"/>
      <c r="S16" s="4"/>
      <c r="T16" s="7"/>
      <c r="U16" s="4"/>
      <c r="V16" s="7"/>
      <c r="W16" s="4"/>
      <c r="X16" s="7"/>
      <c r="Y16" s="4"/>
      <c r="Z16" s="7"/>
      <c r="AA16" s="4"/>
      <c r="AB16" s="7"/>
      <c r="AC16" s="4"/>
      <c r="AD16" s="7"/>
      <c r="AE16" s="4"/>
      <c r="AF16" s="7"/>
      <c r="AG16" s="4"/>
      <c r="AH16" s="7"/>
      <c r="AI16" s="4"/>
      <c r="AJ16" s="7"/>
      <c r="AK16" s="4"/>
      <c r="AL16" s="7"/>
      <c r="AM16" s="4"/>
      <c r="AN16" s="7"/>
      <c r="AO16" s="4"/>
      <c r="AP16" s="7"/>
      <c r="AQ16" s="4"/>
      <c r="AR16" s="7"/>
      <c r="AS16" s="4"/>
      <c r="AT16" s="7"/>
      <c r="AU16" s="4"/>
      <c r="AV16" s="7"/>
      <c r="AW16" s="4"/>
      <c r="AX16" s="7"/>
      <c r="AY16" s="4"/>
      <c r="AZ16" s="7"/>
      <c r="BA16" s="4"/>
      <c r="BB16" s="7"/>
      <c r="BC16" s="4"/>
      <c r="BD16" s="7"/>
      <c r="BE16" s="4"/>
      <c r="BF16" s="7"/>
      <c r="BG16" s="4"/>
      <c r="BH16" s="7"/>
      <c r="BI16" s="4"/>
      <c r="BJ16" s="7"/>
      <c r="BK16" s="4"/>
      <c r="BL16" s="7"/>
      <c r="BM16" s="4"/>
      <c r="BN16" s="7"/>
      <c r="BO16" s="4"/>
      <c r="BP16" s="7"/>
      <c r="BQ16" s="4"/>
      <c r="BR16" s="7"/>
      <c r="BS16" s="4"/>
      <c r="BT16" s="7"/>
      <c r="BU16" s="4"/>
      <c r="BV16" s="7"/>
      <c r="BW16" s="4"/>
      <c r="BX16" s="7"/>
      <c r="BY16" s="4"/>
      <c r="BZ16" s="7"/>
      <c r="CA16" s="4"/>
      <c r="CB16" s="7"/>
      <c r="CC16" s="4"/>
      <c r="CD16" s="7"/>
      <c r="CE16" s="4"/>
      <c r="CF16" s="7"/>
      <c r="CG16" s="4"/>
      <c r="CH16" s="7"/>
      <c r="CI16" s="4"/>
      <c r="CJ16" s="7"/>
      <c r="CK16" s="4"/>
      <c r="CL16" s="7"/>
      <c r="CM16" s="4"/>
      <c r="CN16" s="7"/>
      <c r="CO16" s="4"/>
      <c r="CP16" s="7"/>
      <c r="CQ16" s="4"/>
      <c r="CR16" s="7"/>
      <c r="CS16" s="4"/>
      <c r="CT16" s="7"/>
      <c r="CU16" s="4"/>
      <c r="CV16" s="7"/>
      <c r="CW16" s="4"/>
      <c r="CX16" s="7"/>
      <c r="CY16" s="4"/>
      <c r="CZ16" s="7"/>
      <c r="DA16" s="4"/>
      <c r="DB16" s="7"/>
      <c r="DC16" s="4"/>
      <c r="DD16" s="7"/>
      <c r="DE16" s="4"/>
      <c r="DF16" s="7"/>
      <c r="DG16" s="4"/>
      <c r="DH16" s="7"/>
      <c r="DI16" s="4"/>
      <c r="DJ16" s="7"/>
      <c r="DK16" s="4"/>
      <c r="DL16" s="7"/>
    </row>
    <row r="17" spans="1:116" ht="15" thickBot="1" x14ac:dyDescent="0.35">
      <c r="A17" s="2" t="s">
        <v>84</v>
      </c>
      <c r="B17" s="3" t="s">
        <v>85</v>
      </c>
      <c r="C17" s="3" t="s">
        <v>177</v>
      </c>
      <c r="D17" s="3" t="s">
        <v>123</v>
      </c>
      <c r="E17" s="3" t="s">
        <v>177</v>
      </c>
      <c r="F17" s="3" t="s">
        <v>123</v>
      </c>
      <c r="G17" s="3"/>
      <c r="H17" s="6">
        <f>SUMIF('Sunglasses BOM'!C15:C92,A17,'Sunglasses BOM'!E15:E92)</f>
        <v>25200</v>
      </c>
      <c r="I17" s="32" cm="1">
        <f t="array" ref="I17">SUMPRODUCT((MOD(COLUMN($P17:$FU17)-COLUMN($P17),2)=0)*($P17:$FU17))</f>
        <v>0</v>
      </c>
      <c r="J17" s="10">
        <f t="shared" si="49"/>
        <v>25200</v>
      </c>
      <c r="K17" s="42">
        <f>'Final Processes daily output'!$F$27</f>
        <v>30240</v>
      </c>
      <c r="L17" s="22">
        <f>_xlfn.XLOOKUP(A17,'Pad Printing DPR - PP'!$A$4:$A$27,'Pad Printing DPR - PP'!$I$4:$I$27)</f>
        <v>0</v>
      </c>
      <c r="M17" s="23">
        <f t="shared" si="50"/>
        <v>0</v>
      </c>
      <c r="N17" s="55">
        <f t="shared" si="51"/>
        <v>0.83333333333333337</v>
      </c>
      <c r="O17" s="4"/>
      <c r="P17" s="7"/>
      <c r="Q17" s="4"/>
      <c r="R17" s="7"/>
      <c r="S17" s="4"/>
      <c r="T17" s="7"/>
      <c r="U17" s="4"/>
      <c r="V17" s="7"/>
      <c r="W17" s="4"/>
      <c r="X17" s="7"/>
      <c r="Y17" s="4"/>
      <c r="Z17" s="7"/>
      <c r="AA17" s="4"/>
      <c r="AB17" s="7"/>
      <c r="AC17" s="4"/>
      <c r="AD17" s="7"/>
      <c r="AE17" s="4"/>
      <c r="AF17" s="7"/>
      <c r="AG17" s="4"/>
      <c r="AH17" s="7"/>
      <c r="AI17" s="4"/>
      <c r="AJ17" s="7"/>
      <c r="AK17" s="4"/>
      <c r="AL17" s="7"/>
      <c r="AM17" s="4"/>
      <c r="AN17" s="7"/>
      <c r="AO17" s="4"/>
      <c r="AP17" s="7"/>
      <c r="AQ17" s="4"/>
      <c r="AR17" s="7"/>
      <c r="AS17" s="4"/>
      <c r="AT17" s="7"/>
      <c r="AU17" s="4"/>
      <c r="AV17" s="7"/>
      <c r="AW17" s="4"/>
      <c r="AX17" s="7"/>
      <c r="AY17" s="4"/>
      <c r="AZ17" s="7"/>
      <c r="BA17" s="4"/>
      <c r="BB17" s="7"/>
      <c r="BC17" s="4"/>
      <c r="BD17" s="7"/>
      <c r="BE17" s="4"/>
      <c r="BF17" s="7"/>
      <c r="BG17" s="4"/>
      <c r="BH17" s="7"/>
      <c r="BI17" s="4"/>
      <c r="BJ17" s="7"/>
      <c r="BK17" s="4"/>
      <c r="BL17" s="7"/>
      <c r="BM17" s="4"/>
      <c r="BN17" s="7"/>
      <c r="BO17" s="4"/>
      <c r="BP17" s="7"/>
      <c r="BQ17" s="4"/>
      <c r="BR17" s="7"/>
      <c r="BS17" s="4"/>
      <c r="BT17" s="7"/>
      <c r="BU17" s="4"/>
      <c r="BV17" s="7"/>
      <c r="BW17" s="4"/>
      <c r="BX17" s="7"/>
      <c r="BY17" s="4"/>
      <c r="BZ17" s="7"/>
      <c r="CA17" s="4"/>
      <c r="CB17" s="7"/>
      <c r="CC17" s="4"/>
      <c r="CD17" s="7"/>
      <c r="CE17" s="4"/>
      <c r="CF17" s="7"/>
      <c r="CG17" s="4"/>
      <c r="CH17" s="7"/>
      <c r="CI17" s="4"/>
      <c r="CJ17" s="7"/>
      <c r="CK17" s="4"/>
      <c r="CL17" s="7"/>
      <c r="CM17" s="4"/>
      <c r="CN17" s="7"/>
      <c r="CO17" s="4"/>
      <c r="CP17" s="7"/>
      <c r="CQ17" s="4"/>
      <c r="CR17" s="7"/>
      <c r="CS17" s="4"/>
      <c r="CT17" s="7"/>
      <c r="CU17" s="4"/>
      <c r="CV17" s="7"/>
      <c r="CW17" s="4"/>
      <c r="CX17" s="7"/>
      <c r="CY17" s="4"/>
      <c r="CZ17" s="7"/>
      <c r="DA17" s="4"/>
      <c r="DB17" s="7"/>
      <c r="DC17" s="4"/>
      <c r="DD17" s="7"/>
      <c r="DE17" s="4"/>
      <c r="DF17" s="7"/>
      <c r="DG17" s="4"/>
      <c r="DH17" s="7"/>
      <c r="DI17" s="4"/>
      <c r="DJ17" s="7"/>
      <c r="DK17" s="4"/>
      <c r="DL17" s="7"/>
    </row>
    <row r="18" spans="1:116" ht="15" thickBot="1" x14ac:dyDescent="0.35">
      <c r="A18" s="2" t="s">
        <v>86</v>
      </c>
      <c r="B18" s="3" t="s">
        <v>87</v>
      </c>
      <c r="C18" s="3" t="s">
        <v>113</v>
      </c>
      <c r="D18" s="3" t="s">
        <v>113</v>
      </c>
      <c r="E18" s="3" t="s">
        <v>171</v>
      </c>
      <c r="F18" s="3" t="s">
        <v>112</v>
      </c>
      <c r="G18" s="3"/>
      <c r="H18" s="6">
        <f>SUMIF('Sunglasses BOM'!C16:C93,A18,'Sunglasses BOM'!E16:E93)</f>
        <v>33600</v>
      </c>
      <c r="I18" s="32" cm="1">
        <f t="array" ref="I18">SUMPRODUCT((MOD(COLUMN($P18:$FU18)-COLUMN($P18),2)=0)*($P18:$FU18))</f>
        <v>0</v>
      </c>
      <c r="J18" s="10">
        <f t="shared" si="49"/>
        <v>33600</v>
      </c>
      <c r="K18" s="42">
        <f>'Final Processes daily output'!$F$27</f>
        <v>30240</v>
      </c>
      <c r="L18" s="22">
        <f>_xlfn.XLOOKUP(A18,'Pad Printing DPR - PP'!$A$4:$A$27,'Pad Printing DPR - PP'!$I$4:$I$27)</f>
        <v>0</v>
      </c>
      <c r="M18" s="23">
        <f t="shared" si="50"/>
        <v>0</v>
      </c>
      <c r="N18" s="55">
        <f t="shared" si="51"/>
        <v>1.1111111111111112</v>
      </c>
      <c r="O18" s="4"/>
      <c r="P18" s="7"/>
      <c r="Q18" s="4"/>
      <c r="R18" s="7"/>
      <c r="S18" s="4"/>
      <c r="T18" s="7"/>
      <c r="U18" s="4"/>
      <c r="V18" s="7"/>
      <c r="W18" s="4"/>
      <c r="X18" s="7"/>
      <c r="Y18" s="4"/>
      <c r="Z18" s="7"/>
      <c r="AA18" s="4"/>
      <c r="AB18" s="7"/>
      <c r="AC18" s="4"/>
      <c r="AD18" s="7"/>
      <c r="AE18" s="4"/>
      <c r="AF18" s="7"/>
      <c r="AG18" s="4"/>
      <c r="AH18" s="7"/>
      <c r="AI18" s="4"/>
      <c r="AJ18" s="7"/>
      <c r="AK18" s="4"/>
      <c r="AL18" s="7"/>
      <c r="AM18" s="4"/>
      <c r="AN18" s="7"/>
      <c r="AO18" s="4"/>
      <c r="AP18" s="7"/>
      <c r="AQ18" s="4"/>
      <c r="AR18" s="7"/>
      <c r="AS18" s="4"/>
      <c r="AT18" s="7"/>
      <c r="AU18" s="4"/>
      <c r="AV18" s="7"/>
      <c r="AW18" s="4"/>
      <c r="AX18" s="7"/>
      <c r="AY18" s="4"/>
      <c r="AZ18" s="7"/>
      <c r="BA18" s="4"/>
      <c r="BB18" s="7"/>
      <c r="BC18" s="4"/>
      <c r="BD18" s="7"/>
      <c r="BE18" s="4"/>
      <c r="BF18" s="7"/>
      <c r="BG18" s="4"/>
      <c r="BH18" s="7"/>
      <c r="BI18" s="4"/>
      <c r="BJ18" s="7"/>
      <c r="BK18" s="4"/>
      <c r="BL18" s="7"/>
      <c r="BM18" s="4"/>
      <c r="BN18" s="7"/>
      <c r="BO18" s="4"/>
      <c r="BP18" s="7"/>
      <c r="BQ18" s="4"/>
      <c r="BR18" s="7"/>
      <c r="BS18" s="4"/>
      <c r="BT18" s="7"/>
      <c r="BU18" s="4"/>
      <c r="BV18" s="7"/>
      <c r="BW18" s="4"/>
      <c r="BX18" s="7"/>
      <c r="BY18" s="4"/>
      <c r="BZ18" s="7"/>
      <c r="CA18" s="4"/>
      <c r="CB18" s="7"/>
      <c r="CC18" s="4"/>
      <c r="CD18" s="7"/>
      <c r="CE18" s="4"/>
      <c r="CF18" s="7"/>
      <c r="CG18" s="4"/>
      <c r="CH18" s="7"/>
      <c r="CI18" s="4"/>
      <c r="CJ18" s="7"/>
      <c r="CK18" s="4"/>
      <c r="CL18" s="7"/>
      <c r="CM18" s="4"/>
      <c r="CN18" s="7"/>
      <c r="CO18" s="4"/>
      <c r="CP18" s="7"/>
      <c r="CQ18" s="4"/>
      <c r="CR18" s="7"/>
      <c r="CS18" s="4"/>
      <c r="CT18" s="7"/>
      <c r="CU18" s="4"/>
      <c r="CV18" s="7"/>
      <c r="CW18" s="4"/>
      <c r="CX18" s="7"/>
      <c r="CY18" s="4"/>
      <c r="CZ18" s="7"/>
      <c r="DA18" s="4"/>
      <c r="DB18" s="7"/>
      <c r="DC18" s="4"/>
      <c r="DD18" s="7"/>
      <c r="DE18" s="4"/>
      <c r="DF18" s="7"/>
      <c r="DG18" s="4"/>
      <c r="DH18" s="7"/>
      <c r="DI18" s="4"/>
      <c r="DJ18" s="7"/>
      <c r="DK18" s="4"/>
      <c r="DL18" s="7"/>
    </row>
    <row r="19" spans="1:116" ht="15" thickBot="1" x14ac:dyDescent="0.35">
      <c r="A19" s="2" t="s">
        <v>88</v>
      </c>
      <c r="B19" s="3" t="s">
        <v>89</v>
      </c>
      <c r="C19" s="3" t="s">
        <v>113</v>
      </c>
      <c r="D19" s="3" t="s">
        <v>113</v>
      </c>
      <c r="E19" s="3" t="s">
        <v>173</v>
      </c>
      <c r="F19" s="3" t="s">
        <v>116</v>
      </c>
      <c r="G19" s="3"/>
      <c r="H19" s="6">
        <f>SUMIF('Sunglasses BOM'!C17:C94,A19,'Sunglasses BOM'!E17:E94)</f>
        <v>16800</v>
      </c>
      <c r="I19" s="32" cm="1">
        <f t="array" ref="I19">SUMPRODUCT((MOD(COLUMN($P19:$FU19)-COLUMN($P19),2)=0)*($P19:$FU19))</f>
        <v>0</v>
      </c>
      <c r="J19" s="10">
        <f t="shared" si="49"/>
        <v>16800</v>
      </c>
      <c r="K19" s="42">
        <f>'Final Processes daily output'!$F$27</f>
        <v>30240</v>
      </c>
      <c r="L19" s="22">
        <f>_xlfn.XLOOKUP(A19,'Pad Printing DPR - PP'!$A$4:$A$27,'Pad Printing DPR - PP'!$I$4:$I$27)</f>
        <v>0</v>
      </c>
      <c r="M19" s="23">
        <f t="shared" si="50"/>
        <v>0</v>
      </c>
      <c r="N19" s="55">
        <f t="shared" si="51"/>
        <v>0.55555555555555558</v>
      </c>
      <c r="O19" s="4"/>
      <c r="P19" s="7"/>
      <c r="Q19" s="4"/>
      <c r="R19" s="7"/>
      <c r="S19" s="4"/>
      <c r="T19" s="7"/>
      <c r="U19" s="4"/>
      <c r="V19" s="7"/>
      <c r="W19" s="4"/>
      <c r="X19" s="7"/>
      <c r="Y19" s="4"/>
      <c r="Z19" s="7"/>
      <c r="AA19" s="4"/>
      <c r="AB19" s="7"/>
      <c r="AC19" s="4"/>
      <c r="AD19" s="7"/>
      <c r="AE19" s="4"/>
      <c r="AF19" s="7"/>
      <c r="AG19" s="4"/>
      <c r="AH19" s="7"/>
      <c r="AI19" s="4"/>
      <c r="AJ19" s="7"/>
      <c r="AK19" s="4"/>
      <c r="AL19" s="7"/>
      <c r="AM19" s="4"/>
      <c r="AN19" s="7"/>
      <c r="AO19" s="4"/>
      <c r="AP19" s="7"/>
      <c r="AQ19" s="4"/>
      <c r="AR19" s="7"/>
      <c r="AS19" s="4"/>
      <c r="AT19" s="7"/>
      <c r="AU19" s="4"/>
      <c r="AV19" s="7"/>
      <c r="AW19" s="4"/>
      <c r="AX19" s="7"/>
      <c r="AY19" s="4"/>
      <c r="AZ19" s="7"/>
      <c r="BA19" s="4"/>
      <c r="BB19" s="7"/>
      <c r="BC19" s="4"/>
      <c r="BD19" s="7"/>
      <c r="BE19" s="4"/>
      <c r="BF19" s="7"/>
      <c r="BG19" s="4"/>
      <c r="BH19" s="7"/>
      <c r="BI19" s="4"/>
      <c r="BJ19" s="7"/>
      <c r="BK19" s="4"/>
      <c r="BL19" s="7"/>
      <c r="BM19" s="4"/>
      <c r="BN19" s="7"/>
      <c r="BO19" s="4"/>
      <c r="BP19" s="7"/>
      <c r="BQ19" s="4"/>
      <c r="BR19" s="7"/>
      <c r="BS19" s="4"/>
      <c r="BT19" s="7"/>
      <c r="BU19" s="4"/>
      <c r="BV19" s="7"/>
      <c r="BW19" s="4"/>
      <c r="BX19" s="7"/>
      <c r="BY19" s="4"/>
      <c r="BZ19" s="7"/>
      <c r="CA19" s="4"/>
      <c r="CB19" s="7"/>
      <c r="CC19" s="4"/>
      <c r="CD19" s="7"/>
      <c r="CE19" s="4"/>
      <c r="CF19" s="7"/>
      <c r="CG19" s="4"/>
      <c r="CH19" s="7"/>
      <c r="CI19" s="4"/>
      <c r="CJ19" s="7"/>
      <c r="CK19" s="4"/>
      <c r="CL19" s="7"/>
      <c r="CM19" s="4"/>
      <c r="CN19" s="7"/>
      <c r="CO19" s="4"/>
      <c r="CP19" s="7"/>
      <c r="CQ19" s="4"/>
      <c r="CR19" s="7"/>
      <c r="CS19" s="4"/>
      <c r="CT19" s="7"/>
      <c r="CU19" s="4"/>
      <c r="CV19" s="7"/>
      <c r="CW19" s="4"/>
      <c r="CX19" s="7"/>
      <c r="CY19" s="4"/>
      <c r="CZ19" s="7"/>
      <c r="DA19" s="4"/>
      <c r="DB19" s="7"/>
      <c r="DC19" s="4"/>
      <c r="DD19" s="7"/>
      <c r="DE19" s="4"/>
      <c r="DF19" s="7"/>
      <c r="DG19" s="4"/>
      <c r="DH19" s="7"/>
      <c r="DI19" s="4"/>
      <c r="DJ19" s="7"/>
      <c r="DK19" s="4"/>
      <c r="DL19" s="7"/>
    </row>
    <row r="20" spans="1:116" ht="15" thickBot="1" x14ac:dyDescent="0.35">
      <c r="A20" s="2" t="s">
        <v>90</v>
      </c>
      <c r="B20" s="3" t="s">
        <v>91</v>
      </c>
      <c r="C20" s="3" t="s">
        <v>159</v>
      </c>
      <c r="D20" s="3" t="s">
        <v>113</v>
      </c>
      <c r="E20" s="3" t="s">
        <v>159</v>
      </c>
      <c r="F20" s="3" t="s">
        <v>113</v>
      </c>
      <c r="G20" s="3"/>
      <c r="H20" s="6">
        <f>SUMIF('Sunglasses BOM'!C18:C95,A20,'Sunglasses BOM'!E18:E95)</f>
        <v>50400</v>
      </c>
      <c r="I20" s="32" cm="1">
        <f t="array" ref="I20">SUMPRODUCT((MOD(COLUMN($P20:$FU20)-COLUMN($P20),2)=0)*($P20:$FU20))</f>
        <v>0</v>
      </c>
      <c r="J20" s="10">
        <f t="shared" si="49"/>
        <v>50400</v>
      </c>
      <c r="K20" s="42">
        <f>'Final Processes daily output'!$F$27</f>
        <v>30240</v>
      </c>
      <c r="L20" s="22">
        <f>_xlfn.XLOOKUP(A20,'Pad Printing DPR - PP'!$A$4:$A$27,'Pad Printing DPR - PP'!$I$4:$I$27)</f>
        <v>0</v>
      </c>
      <c r="M20" s="23">
        <f t="shared" si="50"/>
        <v>0</v>
      </c>
      <c r="N20" s="55">
        <f t="shared" si="51"/>
        <v>1.6666666666666667</v>
      </c>
      <c r="O20" s="4"/>
      <c r="P20" s="7"/>
      <c r="Q20" s="4"/>
      <c r="R20" s="7"/>
      <c r="S20" s="4"/>
      <c r="T20" s="7"/>
      <c r="U20" s="4"/>
      <c r="V20" s="7"/>
      <c r="W20" s="4"/>
      <c r="X20" s="7"/>
      <c r="Y20" s="4"/>
      <c r="Z20" s="7"/>
      <c r="AA20" s="4"/>
      <c r="AB20" s="7"/>
      <c r="AC20" s="4"/>
      <c r="AD20" s="7"/>
      <c r="AE20" s="4"/>
      <c r="AF20" s="7"/>
      <c r="AG20" s="4"/>
      <c r="AH20" s="7"/>
      <c r="AI20" s="4"/>
      <c r="AJ20" s="7"/>
      <c r="AK20" s="4"/>
      <c r="AL20" s="7"/>
      <c r="AM20" s="4"/>
      <c r="AN20" s="7"/>
      <c r="AO20" s="4"/>
      <c r="AP20" s="7"/>
      <c r="AQ20" s="4"/>
      <c r="AR20" s="7"/>
      <c r="AS20" s="4"/>
      <c r="AT20" s="7"/>
      <c r="AU20" s="4"/>
      <c r="AV20" s="7"/>
      <c r="AW20" s="4"/>
      <c r="AX20" s="7"/>
      <c r="AY20" s="4"/>
      <c r="AZ20" s="7"/>
      <c r="BA20" s="4"/>
      <c r="BB20" s="7"/>
      <c r="BC20" s="4"/>
      <c r="BD20" s="7"/>
      <c r="BE20" s="4"/>
      <c r="BF20" s="7"/>
      <c r="BG20" s="4"/>
      <c r="BH20" s="7"/>
      <c r="BI20" s="4"/>
      <c r="BJ20" s="7"/>
      <c r="BK20" s="4"/>
      <c r="BL20" s="7"/>
      <c r="BM20" s="4"/>
      <c r="BN20" s="7"/>
      <c r="BO20" s="4"/>
      <c r="BP20" s="7"/>
      <c r="BQ20" s="4"/>
      <c r="BR20" s="7"/>
      <c r="BS20" s="4"/>
      <c r="BT20" s="7"/>
      <c r="BU20" s="4"/>
      <c r="BV20" s="7"/>
      <c r="BW20" s="4"/>
      <c r="BX20" s="7"/>
      <c r="BY20" s="4"/>
      <c r="BZ20" s="7"/>
      <c r="CA20" s="4"/>
      <c r="CB20" s="7"/>
      <c r="CC20" s="4"/>
      <c r="CD20" s="7"/>
      <c r="CE20" s="4"/>
      <c r="CF20" s="7"/>
      <c r="CG20" s="4"/>
      <c r="CH20" s="7"/>
      <c r="CI20" s="4"/>
      <c r="CJ20" s="7"/>
      <c r="CK20" s="4"/>
      <c r="CL20" s="7"/>
      <c r="CM20" s="4"/>
      <c r="CN20" s="7"/>
      <c r="CO20" s="4"/>
      <c r="CP20" s="7"/>
      <c r="CQ20" s="4"/>
      <c r="CR20" s="7"/>
      <c r="CS20" s="4"/>
      <c r="CT20" s="7"/>
      <c r="CU20" s="4"/>
      <c r="CV20" s="7"/>
      <c r="CW20" s="4"/>
      <c r="CX20" s="7"/>
      <c r="CY20" s="4"/>
      <c r="CZ20" s="7"/>
      <c r="DA20" s="4"/>
      <c r="DB20" s="7"/>
      <c r="DC20" s="4"/>
      <c r="DD20" s="7"/>
      <c r="DE20" s="4"/>
      <c r="DF20" s="7"/>
      <c r="DG20" s="4"/>
      <c r="DH20" s="7"/>
      <c r="DI20" s="4"/>
      <c r="DJ20" s="7"/>
      <c r="DK20" s="4"/>
      <c r="DL20" s="7"/>
    </row>
    <row r="21" spans="1:116" ht="15" thickBot="1" x14ac:dyDescent="0.35">
      <c r="A21" s="2" t="s">
        <v>92</v>
      </c>
      <c r="B21" s="3" t="s">
        <v>93</v>
      </c>
      <c r="C21" s="3" t="s">
        <v>159</v>
      </c>
      <c r="D21" s="3" t="s">
        <v>113</v>
      </c>
      <c r="E21" s="3" t="s">
        <v>159</v>
      </c>
      <c r="F21" s="3" t="s">
        <v>113</v>
      </c>
      <c r="G21" s="3"/>
      <c r="H21" s="6">
        <f>SUMIF('Sunglasses BOM'!C19:C96,A21,'Sunglasses BOM'!E19:E96)</f>
        <v>50400</v>
      </c>
      <c r="I21" s="32" cm="1">
        <f t="array" ref="I21">SUMPRODUCT((MOD(COLUMN($P21:$FU21)-COLUMN($P21),2)=0)*($P21:$FU21))</f>
        <v>0</v>
      </c>
      <c r="J21" s="10">
        <f t="shared" si="49"/>
        <v>50400</v>
      </c>
      <c r="K21" s="42">
        <f>'Final Processes daily output'!$F$27</f>
        <v>30240</v>
      </c>
      <c r="L21" s="22">
        <f>_xlfn.XLOOKUP(A21,'Pad Printing DPR - PP'!$A$4:$A$27,'Pad Printing DPR - PP'!$I$4:$I$27)</f>
        <v>0</v>
      </c>
      <c r="M21" s="23">
        <f t="shared" si="50"/>
        <v>0</v>
      </c>
      <c r="N21" s="55">
        <f t="shared" si="51"/>
        <v>1.6666666666666667</v>
      </c>
      <c r="O21" s="4"/>
      <c r="P21" s="7"/>
      <c r="Q21" s="4"/>
      <c r="R21" s="7"/>
      <c r="S21" s="4"/>
      <c r="T21" s="7"/>
      <c r="U21" s="4"/>
      <c r="V21" s="7"/>
      <c r="W21" s="4"/>
      <c r="X21" s="7"/>
      <c r="Y21" s="4"/>
      <c r="Z21" s="7"/>
      <c r="AA21" s="4"/>
      <c r="AB21" s="7"/>
      <c r="AC21" s="4"/>
      <c r="AD21" s="7"/>
      <c r="AE21" s="4"/>
      <c r="AF21" s="7"/>
      <c r="AG21" s="4"/>
      <c r="AH21" s="7"/>
      <c r="AI21" s="4"/>
      <c r="AJ21" s="7"/>
      <c r="AK21" s="4"/>
      <c r="AL21" s="7"/>
      <c r="AM21" s="4"/>
      <c r="AN21" s="7"/>
      <c r="AO21" s="4"/>
      <c r="AP21" s="7"/>
      <c r="AQ21" s="4"/>
      <c r="AR21" s="7"/>
      <c r="AS21" s="4"/>
      <c r="AT21" s="7"/>
      <c r="AU21" s="4"/>
      <c r="AV21" s="7"/>
      <c r="AW21" s="4"/>
      <c r="AX21" s="7"/>
      <c r="AY21" s="4"/>
      <c r="AZ21" s="7"/>
      <c r="BA21" s="4"/>
      <c r="BB21" s="7"/>
      <c r="BC21" s="4"/>
      <c r="BD21" s="7"/>
      <c r="BE21" s="4"/>
      <c r="BF21" s="7"/>
      <c r="BG21" s="4"/>
      <c r="BH21" s="7"/>
      <c r="BI21" s="4"/>
      <c r="BJ21" s="7"/>
      <c r="BK21" s="4"/>
      <c r="BL21" s="7"/>
      <c r="BM21" s="4"/>
      <c r="BN21" s="7"/>
      <c r="BO21" s="4"/>
      <c r="BP21" s="7"/>
      <c r="BQ21" s="4"/>
      <c r="BR21" s="7"/>
      <c r="BS21" s="4"/>
      <c r="BT21" s="7"/>
      <c r="BU21" s="4"/>
      <c r="BV21" s="7"/>
      <c r="BW21" s="4"/>
      <c r="BX21" s="7"/>
      <c r="BY21" s="4"/>
      <c r="BZ21" s="7"/>
      <c r="CA21" s="4"/>
      <c r="CB21" s="7"/>
      <c r="CC21" s="4"/>
      <c r="CD21" s="7"/>
      <c r="CE21" s="4"/>
      <c r="CF21" s="7"/>
      <c r="CG21" s="4"/>
      <c r="CH21" s="7"/>
      <c r="CI21" s="4"/>
      <c r="CJ21" s="7"/>
      <c r="CK21" s="4"/>
      <c r="CL21" s="7"/>
      <c r="CM21" s="4"/>
      <c r="CN21" s="7"/>
      <c r="CO21" s="4"/>
      <c r="CP21" s="7"/>
      <c r="CQ21" s="4"/>
      <c r="CR21" s="7"/>
      <c r="CS21" s="4"/>
      <c r="CT21" s="7"/>
      <c r="CU21" s="4"/>
      <c r="CV21" s="7"/>
      <c r="CW21" s="4"/>
      <c r="CX21" s="7"/>
      <c r="CY21" s="4"/>
      <c r="CZ21" s="7"/>
      <c r="DA21" s="4"/>
      <c r="DB21" s="7"/>
      <c r="DC21" s="4"/>
      <c r="DD21" s="7"/>
      <c r="DE21" s="4"/>
      <c r="DF21" s="7"/>
      <c r="DG21" s="4"/>
      <c r="DH21" s="7"/>
      <c r="DI21" s="4"/>
      <c r="DJ21" s="7"/>
      <c r="DK21" s="4"/>
      <c r="DL21" s="7"/>
    </row>
    <row r="22" spans="1:116" ht="15" thickBot="1" x14ac:dyDescent="0.35">
      <c r="A22" s="2" t="s">
        <v>94</v>
      </c>
      <c r="B22" s="3" t="s">
        <v>95</v>
      </c>
      <c r="C22" s="3" t="s">
        <v>159</v>
      </c>
      <c r="D22" s="3" t="s">
        <v>113</v>
      </c>
      <c r="E22" s="3" t="s">
        <v>159</v>
      </c>
      <c r="F22" s="3" t="s">
        <v>113</v>
      </c>
      <c r="G22" s="3"/>
      <c r="H22" s="6">
        <f>SUMIF('Sunglasses BOM'!C20:C97,A22,'Sunglasses BOM'!E20:E97)</f>
        <v>8400</v>
      </c>
      <c r="I22" s="32" cm="1">
        <f t="array" ref="I22">SUMPRODUCT((MOD(COLUMN($P22:$FU22)-COLUMN($P22),2)=0)*($P22:$FU22))</f>
        <v>0</v>
      </c>
      <c r="J22" s="10">
        <f t="shared" si="49"/>
        <v>8400</v>
      </c>
      <c r="K22" s="42">
        <f>'Final Processes daily output'!$F$27</f>
        <v>30240</v>
      </c>
      <c r="L22" s="22">
        <f>_xlfn.XLOOKUP(A22,'Pad Printing DPR - PP'!$A$4:$A$27,'Pad Printing DPR - PP'!$I$4:$I$27)</f>
        <v>0</v>
      </c>
      <c r="M22" s="23">
        <f t="shared" si="50"/>
        <v>0</v>
      </c>
      <c r="N22" s="55">
        <f t="shared" si="51"/>
        <v>0.27777777777777779</v>
      </c>
      <c r="O22" s="4"/>
      <c r="P22" s="7"/>
      <c r="Q22" s="4"/>
      <c r="R22" s="7"/>
      <c r="S22" s="4"/>
      <c r="T22" s="7"/>
      <c r="U22" s="4"/>
      <c r="V22" s="7"/>
      <c r="W22" s="4"/>
      <c r="X22" s="7"/>
      <c r="Y22" s="4"/>
      <c r="Z22" s="7"/>
      <c r="AA22" s="4"/>
      <c r="AB22" s="7"/>
      <c r="AC22" s="4"/>
      <c r="AD22" s="7"/>
      <c r="AE22" s="4"/>
      <c r="AF22" s="7"/>
      <c r="AG22" s="4"/>
      <c r="AH22" s="7"/>
      <c r="AI22" s="4"/>
      <c r="AJ22" s="7"/>
      <c r="AK22" s="4"/>
      <c r="AL22" s="7"/>
      <c r="AM22" s="4"/>
      <c r="AN22" s="7"/>
      <c r="AO22" s="4"/>
      <c r="AP22" s="7"/>
      <c r="AQ22" s="4"/>
      <c r="AR22" s="7"/>
      <c r="AS22" s="4"/>
      <c r="AT22" s="7"/>
      <c r="AU22" s="4"/>
      <c r="AV22" s="7"/>
      <c r="AW22" s="4"/>
      <c r="AX22" s="7"/>
      <c r="AY22" s="4"/>
      <c r="AZ22" s="7"/>
      <c r="BA22" s="4"/>
      <c r="BB22" s="7"/>
      <c r="BC22" s="4"/>
      <c r="BD22" s="7"/>
      <c r="BE22" s="4"/>
      <c r="BF22" s="7"/>
      <c r="BG22" s="4"/>
      <c r="BH22" s="7"/>
      <c r="BI22" s="4"/>
      <c r="BJ22" s="7"/>
      <c r="BK22" s="4"/>
      <c r="BL22" s="7"/>
      <c r="BM22" s="4"/>
      <c r="BN22" s="7"/>
      <c r="BO22" s="4"/>
      <c r="BP22" s="7"/>
      <c r="BQ22" s="4"/>
      <c r="BR22" s="7"/>
      <c r="BS22" s="4"/>
      <c r="BT22" s="7"/>
      <c r="BU22" s="4"/>
      <c r="BV22" s="7"/>
      <c r="BW22" s="4"/>
      <c r="BX22" s="7"/>
      <c r="BY22" s="4"/>
      <c r="BZ22" s="7"/>
      <c r="CA22" s="4"/>
      <c r="CB22" s="7"/>
      <c r="CC22" s="4"/>
      <c r="CD22" s="7"/>
      <c r="CE22" s="4"/>
      <c r="CF22" s="7"/>
      <c r="CG22" s="4"/>
      <c r="CH22" s="7"/>
      <c r="CI22" s="4"/>
      <c r="CJ22" s="7"/>
      <c r="CK22" s="4"/>
      <c r="CL22" s="7"/>
      <c r="CM22" s="4"/>
      <c r="CN22" s="7"/>
      <c r="CO22" s="4"/>
      <c r="CP22" s="7"/>
      <c r="CQ22" s="4"/>
      <c r="CR22" s="7"/>
      <c r="CS22" s="4"/>
      <c r="CT22" s="7"/>
      <c r="CU22" s="4"/>
      <c r="CV22" s="7"/>
      <c r="CW22" s="4"/>
      <c r="CX22" s="7"/>
      <c r="CY22" s="4"/>
      <c r="CZ22" s="7"/>
      <c r="DA22" s="4"/>
      <c r="DB22" s="7"/>
      <c r="DC22" s="4"/>
      <c r="DD22" s="7"/>
      <c r="DE22" s="4"/>
      <c r="DF22" s="7"/>
      <c r="DG22" s="4"/>
      <c r="DH22" s="7"/>
      <c r="DI22" s="4"/>
      <c r="DJ22" s="7"/>
      <c r="DK22" s="4"/>
      <c r="DL22" s="7"/>
    </row>
    <row r="23" spans="1:116" ht="15" thickBot="1" x14ac:dyDescent="0.35">
      <c r="A23" s="2" t="s">
        <v>96</v>
      </c>
      <c r="B23" s="3" t="s">
        <v>97</v>
      </c>
      <c r="C23" s="3" t="s">
        <v>159</v>
      </c>
      <c r="D23" s="3" t="s">
        <v>113</v>
      </c>
      <c r="E23" s="3" t="s">
        <v>159</v>
      </c>
      <c r="F23" s="3" t="s">
        <v>113</v>
      </c>
      <c r="G23" s="3"/>
      <c r="H23" s="6">
        <f>SUMIF('Sunglasses BOM'!C21:C98,A23,'Sunglasses BOM'!E21:E98)</f>
        <v>16800</v>
      </c>
      <c r="I23" s="32" cm="1">
        <f t="array" ref="I23">SUMPRODUCT((MOD(COLUMN($P23:$FU23)-COLUMN($P23),2)=0)*($P23:$FU23))</f>
        <v>0</v>
      </c>
      <c r="J23" s="10">
        <f t="shared" si="49"/>
        <v>16800</v>
      </c>
      <c r="K23" s="42">
        <f>'Final Processes daily output'!$F$27</f>
        <v>30240</v>
      </c>
      <c r="L23" s="22">
        <f>_xlfn.XLOOKUP(A23,'Pad Printing DPR - PP'!$A$4:$A$27,'Pad Printing DPR - PP'!$I$4:$I$27)</f>
        <v>0</v>
      </c>
      <c r="M23" s="23">
        <f t="shared" si="50"/>
        <v>0</v>
      </c>
      <c r="N23" s="55">
        <f t="shared" si="51"/>
        <v>0.55555555555555558</v>
      </c>
      <c r="O23" s="4"/>
      <c r="P23" s="7"/>
      <c r="Q23" s="4"/>
      <c r="R23" s="7"/>
      <c r="S23" s="4"/>
      <c r="T23" s="7"/>
      <c r="U23" s="4"/>
      <c r="V23" s="7"/>
      <c r="W23" s="4"/>
      <c r="X23" s="7"/>
      <c r="Y23" s="4"/>
      <c r="Z23" s="7"/>
      <c r="AA23" s="4"/>
      <c r="AB23" s="7"/>
      <c r="AC23" s="4"/>
      <c r="AD23" s="7"/>
      <c r="AE23" s="4"/>
      <c r="AF23" s="7"/>
      <c r="AG23" s="4"/>
      <c r="AH23" s="7"/>
      <c r="AI23" s="4"/>
      <c r="AJ23" s="7"/>
      <c r="AK23" s="4"/>
      <c r="AL23" s="7"/>
      <c r="AM23" s="4"/>
      <c r="AN23" s="7"/>
      <c r="AO23" s="4"/>
      <c r="AP23" s="7"/>
      <c r="AQ23" s="4"/>
      <c r="AR23" s="7"/>
      <c r="AS23" s="4"/>
      <c r="AT23" s="7"/>
      <c r="AU23" s="4"/>
      <c r="AV23" s="7"/>
      <c r="AW23" s="4"/>
      <c r="AX23" s="7"/>
      <c r="AY23" s="4"/>
      <c r="AZ23" s="7"/>
      <c r="BA23" s="4"/>
      <c r="BB23" s="7"/>
      <c r="BC23" s="4"/>
      <c r="BD23" s="7"/>
      <c r="BE23" s="4"/>
      <c r="BF23" s="7"/>
      <c r="BG23" s="4"/>
      <c r="BH23" s="7"/>
      <c r="BI23" s="4"/>
      <c r="BJ23" s="7"/>
      <c r="BK23" s="4"/>
      <c r="BL23" s="7"/>
      <c r="BM23" s="4"/>
      <c r="BN23" s="7"/>
      <c r="BO23" s="4"/>
      <c r="BP23" s="7"/>
      <c r="BQ23" s="4"/>
      <c r="BR23" s="7"/>
      <c r="BS23" s="4"/>
      <c r="BT23" s="7"/>
      <c r="BU23" s="4"/>
      <c r="BV23" s="7"/>
      <c r="BW23" s="4"/>
      <c r="BX23" s="7"/>
      <c r="BY23" s="4"/>
      <c r="BZ23" s="7"/>
      <c r="CA23" s="4"/>
      <c r="CB23" s="7"/>
      <c r="CC23" s="4"/>
      <c r="CD23" s="7"/>
      <c r="CE23" s="4"/>
      <c r="CF23" s="7"/>
      <c r="CG23" s="4"/>
      <c r="CH23" s="7"/>
      <c r="CI23" s="4"/>
      <c r="CJ23" s="7"/>
      <c r="CK23" s="4"/>
      <c r="CL23" s="7"/>
      <c r="CM23" s="4"/>
      <c r="CN23" s="7"/>
      <c r="CO23" s="4"/>
      <c r="CP23" s="7"/>
      <c r="CQ23" s="4"/>
      <c r="CR23" s="7"/>
      <c r="CS23" s="4"/>
      <c r="CT23" s="7"/>
      <c r="CU23" s="4"/>
      <c r="CV23" s="7"/>
      <c r="CW23" s="4"/>
      <c r="CX23" s="7"/>
      <c r="CY23" s="4"/>
      <c r="CZ23" s="7"/>
      <c r="DA23" s="4"/>
      <c r="DB23" s="7"/>
      <c r="DC23" s="4"/>
      <c r="DD23" s="7"/>
      <c r="DE23" s="4"/>
      <c r="DF23" s="7"/>
      <c r="DG23" s="4"/>
      <c r="DH23" s="7"/>
      <c r="DI23" s="4"/>
      <c r="DJ23" s="7"/>
      <c r="DK23" s="4"/>
      <c r="DL23" s="7"/>
    </row>
    <row r="24" spans="1:116" ht="15" thickBot="1" x14ac:dyDescent="0.35">
      <c r="A24" s="2" t="s">
        <v>98</v>
      </c>
      <c r="B24" s="3" t="s">
        <v>99</v>
      </c>
      <c r="C24" s="3" t="s">
        <v>170</v>
      </c>
      <c r="D24" s="3" t="s">
        <v>111</v>
      </c>
      <c r="E24" s="3" t="s">
        <v>171</v>
      </c>
      <c r="F24" s="3" t="s">
        <v>112</v>
      </c>
      <c r="G24" s="3"/>
      <c r="H24" s="6">
        <f>SUMIF('Sunglasses BOM'!C22:C99,A24,'Sunglasses BOM'!E22:E99)</f>
        <v>25200</v>
      </c>
      <c r="I24" s="32" cm="1">
        <f t="array" ref="I24">SUMPRODUCT((MOD(COLUMN($P24:$FU24)-COLUMN($P24),2)=0)*($P24:$FU24))</f>
        <v>0</v>
      </c>
      <c r="J24" s="10">
        <f t="shared" si="49"/>
        <v>25200</v>
      </c>
      <c r="K24" s="42">
        <f>'Final Processes daily output'!$F$27</f>
        <v>30240</v>
      </c>
      <c r="L24" s="22">
        <f>_xlfn.XLOOKUP(A24,'Pad Printing DPR - PP'!$A$4:$A$27,'Pad Printing DPR - PP'!$I$4:$I$27)</f>
        <v>0</v>
      </c>
      <c r="M24" s="23">
        <f t="shared" si="50"/>
        <v>0</v>
      </c>
      <c r="N24" s="55">
        <f t="shared" si="51"/>
        <v>0.83333333333333337</v>
      </c>
      <c r="O24" s="4"/>
      <c r="P24" s="7"/>
      <c r="Q24" s="4"/>
      <c r="R24" s="7"/>
      <c r="S24" s="4"/>
      <c r="T24" s="7"/>
      <c r="U24" s="4"/>
      <c r="V24" s="7"/>
      <c r="W24" s="4"/>
      <c r="X24" s="7"/>
      <c r="Y24" s="4"/>
      <c r="Z24" s="7"/>
      <c r="AA24" s="4"/>
      <c r="AB24" s="7"/>
      <c r="AC24" s="4"/>
      <c r="AD24" s="7"/>
      <c r="AE24" s="4"/>
      <c r="AF24" s="7"/>
      <c r="AG24" s="4"/>
      <c r="AH24" s="7"/>
      <c r="AI24" s="4"/>
      <c r="AJ24" s="7"/>
      <c r="AK24" s="4"/>
      <c r="AL24" s="7"/>
      <c r="AM24" s="4"/>
      <c r="AN24" s="7"/>
      <c r="AO24" s="4"/>
      <c r="AP24" s="7"/>
      <c r="AQ24" s="4"/>
      <c r="AR24" s="7"/>
      <c r="AS24" s="4"/>
      <c r="AT24" s="7"/>
      <c r="AU24" s="4"/>
      <c r="AV24" s="7"/>
      <c r="AW24" s="4"/>
      <c r="AX24" s="7"/>
      <c r="AY24" s="4"/>
      <c r="AZ24" s="7"/>
      <c r="BA24" s="4"/>
      <c r="BB24" s="7"/>
      <c r="BC24" s="4"/>
      <c r="BD24" s="7"/>
      <c r="BE24" s="4"/>
      <c r="BF24" s="7"/>
      <c r="BG24" s="4"/>
      <c r="BH24" s="7"/>
      <c r="BI24" s="4"/>
      <c r="BJ24" s="7"/>
      <c r="BK24" s="4"/>
      <c r="BL24" s="7"/>
      <c r="BM24" s="4"/>
      <c r="BN24" s="7"/>
      <c r="BO24" s="4"/>
      <c r="BP24" s="7"/>
      <c r="BQ24" s="4"/>
      <c r="BR24" s="7"/>
      <c r="BS24" s="4"/>
      <c r="BT24" s="7"/>
      <c r="BU24" s="4"/>
      <c r="BV24" s="7"/>
      <c r="BW24" s="4"/>
      <c r="BX24" s="7"/>
      <c r="BY24" s="4"/>
      <c r="BZ24" s="7"/>
      <c r="CA24" s="4"/>
      <c r="CB24" s="7"/>
      <c r="CC24" s="4"/>
      <c r="CD24" s="7"/>
      <c r="CE24" s="4"/>
      <c r="CF24" s="7"/>
      <c r="CG24" s="4"/>
      <c r="CH24" s="7"/>
      <c r="CI24" s="4"/>
      <c r="CJ24" s="7"/>
      <c r="CK24" s="4"/>
      <c r="CL24" s="7"/>
      <c r="CM24" s="4"/>
      <c r="CN24" s="7"/>
      <c r="CO24" s="4"/>
      <c r="CP24" s="7"/>
      <c r="CQ24" s="4"/>
      <c r="CR24" s="7"/>
      <c r="CS24" s="4"/>
      <c r="CT24" s="7"/>
      <c r="CU24" s="4"/>
      <c r="CV24" s="7"/>
      <c r="CW24" s="4"/>
      <c r="CX24" s="7"/>
      <c r="CY24" s="4"/>
      <c r="CZ24" s="7"/>
      <c r="DA24" s="4"/>
      <c r="DB24" s="7"/>
      <c r="DC24" s="4"/>
      <c r="DD24" s="7"/>
      <c r="DE24" s="4"/>
      <c r="DF24" s="7"/>
      <c r="DG24" s="4"/>
      <c r="DH24" s="7"/>
      <c r="DI24" s="4"/>
      <c r="DJ24" s="7"/>
      <c r="DK24" s="4"/>
      <c r="DL24" s="7"/>
    </row>
    <row r="25" spans="1:116" ht="15" thickBot="1" x14ac:dyDescent="0.35">
      <c r="A25" s="2" t="s">
        <v>100</v>
      </c>
      <c r="B25" s="3" t="s">
        <v>101</v>
      </c>
      <c r="C25" s="3" t="s">
        <v>170</v>
      </c>
      <c r="D25" s="3" t="s">
        <v>111</v>
      </c>
      <c r="E25" s="3" t="s">
        <v>176</v>
      </c>
      <c r="F25" s="3" t="s">
        <v>115</v>
      </c>
      <c r="G25" s="3"/>
      <c r="H25" s="6">
        <f>SUMIF('Sunglasses BOM'!C23:C100,A25,'Sunglasses BOM'!E23:E100)</f>
        <v>8400</v>
      </c>
      <c r="I25" s="32" cm="1">
        <f t="array" ref="I25">SUMPRODUCT((MOD(COLUMN($P25:$FU25)-COLUMN($P25),2)=0)*($P25:$FU25))</f>
        <v>0</v>
      </c>
      <c r="J25" s="10">
        <f t="shared" si="49"/>
        <v>8400</v>
      </c>
      <c r="K25" s="42">
        <f>'Final Processes daily output'!$F$27</f>
        <v>30240</v>
      </c>
      <c r="L25" s="22">
        <f>_xlfn.XLOOKUP(A25,'Pad Printing DPR - PP'!$A$4:$A$27,'Pad Printing DPR - PP'!$I$4:$I$27)</f>
        <v>0</v>
      </c>
      <c r="M25" s="23">
        <f t="shared" si="50"/>
        <v>0</v>
      </c>
      <c r="N25" s="55">
        <f t="shared" si="51"/>
        <v>0.27777777777777779</v>
      </c>
      <c r="O25" s="4"/>
      <c r="P25" s="7"/>
      <c r="Q25" s="4"/>
      <c r="R25" s="7"/>
      <c r="S25" s="4"/>
      <c r="T25" s="7"/>
      <c r="U25" s="4"/>
      <c r="V25" s="7"/>
      <c r="W25" s="4"/>
      <c r="X25" s="7"/>
      <c r="Y25" s="4"/>
      <c r="Z25" s="7"/>
      <c r="AA25" s="4"/>
      <c r="AB25" s="7"/>
      <c r="AC25" s="4"/>
      <c r="AD25" s="7"/>
      <c r="AE25" s="4"/>
      <c r="AF25" s="7"/>
      <c r="AG25" s="4"/>
      <c r="AH25" s="7"/>
      <c r="AI25" s="4"/>
      <c r="AJ25" s="7"/>
      <c r="AK25" s="4"/>
      <c r="AL25" s="7"/>
      <c r="AM25" s="4"/>
      <c r="AN25" s="7"/>
      <c r="AO25" s="4"/>
      <c r="AP25" s="7"/>
      <c r="AQ25" s="4"/>
      <c r="AR25" s="7"/>
      <c r="AS25" s="4"/>
      <c r="AT25" s="7"/>
      <c r="AU25" s="4"/>
      <c r="AV25" s="7"/>
      <c r="AW25" s="4"/>
      <c r="AX25" s="7"/>
      <c r="AY25" s="4"/>
      <c r="AZ25" s="7"/>
      <c r="BA25" s="4"/>
      <c r="BB25" s="7"/>
      <c r="BC25" s="4"/>
      <c r="BD25" s="7"/>
      <c r="BE25" s="4"/>
      <c r="BF25" s="7"/>
      <c r="BG25" s="4"/>
      <c r="BH25" s="7"/>
      <c r="BI25" s="4"/>
      <c r="BJ25" s="7"/>
      <c r="BK25" s="4"/>
      <c r="BL25" s="7"/>
      <c r="BM25" s="4"/>
      <c r="BN25" s="7"/>
      <c r="BO25" s="4"/>
      <c r="BP25" s="7"/>
      <c r="BQ25" s="4"/>
      <c r="BR25" s="7"/>
      <c r="BS25" s="4"/>
      <c r="BT25" s="7"/>
      <c r="BU25" s="4"/>
      <c r="BV25" s="7"/>
      <c r="BW25" s="4"/>
      <c r="BX25" s="7"/>
      <c r="BY25" s="4"/>
      <c r="BZ25" s="7"/>
      <c r="CA25" s="4"/>
      <c r="CB25" s="7"/>
      <c r="CC25" s="4"/>
      <c r="CD25" s="7"/>
      <c r="CE25" s="4"/>
      <c r="CF25" s="7"/>
      <c r="CG25" s="4"/>
      <c r="CH25" s="7"/>
      <c r="CI25" s="4"/>
      <c r="CJ25" s="7"/>
      <c r="CK25" s="4"/>
      <c r="CL25" s="7"/>
      <c r="CM25" s="4"/>
      <c r="CN25" s="7"/>
      <c r="CO25" s="4"/>
      <c r="CP25" s="7"/>
      <c r="CQ25" s="4"/>
      <c r="CR25" s="7"/>
      <c r="CS25" s="4"/>
      <c r="CT25" s="7"/>
      <c r="CU25" s="4"/>
      <c r="CV25" s="7"/>
      <c r="CW25" s="4"/>
      <c r="CX25" s="7"/>
      <c r="CY25" s="4"/>
      <c r="CZ25" s="7"/>
      <c r="DA25" s="4"/>
      <c r="DB25" s="7"/>
      <c r="DC25" s="4"/>
      <c r="DD25" s="7"/>
      <c r="DE25" s="4"/>
      <c r="DF25" s="7"/>
      <c r="DG25" s="4"/>
      <c r="DH25" s="7"/>
      <c r="DI25" s="4"/>
      <c r="DJ25" s="7"/>
      <c r="DK25" s="4"/>
      <c r="DL25" s="7"/>
    </row>
    <row r="26" spans="1:116" ht="15" thickBot="1" x14ac:dyDescent="0.35">
      <c r="A26" s="2" t="s">
        <v>102</v>
      </c>
      <c r="B26" s="3" t="s">
        <v>103</v>
      </c>
      <c r="C26" s="3" t="s">
        <v>178</v>
      </c>
      <c r="D26" s="3" t="s">
        <v>112</v>
      </c>
      <c r="E26" s="3" t="s">
        <v>170</v>
      </c>
      <c r="F26" s="3" t="s">
        <v>111</v>
      </c>
      <c r="G26" s="3"/>
      <c r="H26" s="6">
        <f>SUMIF('Sunglasses BOM'!C24:C101,A26,'Sunglasses BOM'!E24:E101)</f>
        <v>8400</v>
      </c>
      <c r="I26" s="32" cm="1">
        <f t="array" ref="I26">SUMPRODUCT((MOD(COLUMN($P26:$FU26)-COLUMN($P26),2)=0)*($P26:$FU26))</f>
        <v>0</v>
      </c>
      <c r="J26" s="10">
        <f t="shared" si="49"/>
        <v>8400</v>
      </c>
      <c r="K26" s="42">
        <f>'Final Processes daily output'!$F$27</f>
        <v>30240</v>
      </c>
      <c r="L26" s="22">
        <f>_xlfn.XLOOKUP(A26,'Pad Printing DPR - PP'!$A$4:$A$27,'Pad Printing DPR - PP'!$I$4:$I$27)</f>
        <v>0</v>
      </c>
      <c r="M26" s="23">
        <f t="shared" si="50"/>
        <v>0</v>
      </c>
      <c r="N26" s="55">
        <f t="shared" si="51"/>
        <v>0.27777777777777779</v>
      </c>
      <c r="O26" s="4"/>
      <c r="P26" s="7"/>
      <c r="Q26" s="4"/>
      <c r="R26" s="7"/>
      <c r="S26" s="4"/>
      <c r="T26" s="7"/>
      <c r="U26" s="4"/>
      <c r="V26" s="7"/>
      <c r="W26" s="4"/>
      <c r="X26" s="7"/>
      <c r="Y26" s="4"/>
      <c r="Z26" s="7"/>
      <c r="AA26" s="4"/>
      <c r="AB26" s="7"/>
      <c r="AC26" s="4"/>
      <c r="AD26" s="7"/>
      <c r="AE26" s="4"/>
      <c r="AF26" s="7"/>
      <c r="AG26" s="4"/>
      <c r="AH26" s="7"/>
      <c r="AI26" s="4"/>
      <c r="AJ26" s="7"/>
      <c r="AK26" s="4"/>
      <c r="AL26" s="7"/>
      <c r="AM26" s="4"/>
      <c r="AN26" s="7"/>
      <c r="AO26" s="4"/>
      <c r="AP26" s="7"/>
      <c r="AQ26" s="4"/>
      <c r="AR26" s="7"/>
      <c r="AS26" s="4"/>
      <c r="AT26" s="7"/>
      <c r="AU26" s="4"/>
      <c r="AV26" s="7"/>
      <c r="AW26" s="4"/>
      <c r="AX26" s="7"/>
      <c r="AY26" s="4"/>
      <c r="AZ26" s="7"/>
      <c r="BA26" s="4"/>
      <c r="BB26" s="7"/>
      <c r="BC26" s="4"/>
      <c r="BD26" s="7"/>
      <c r="BE26" s="4"/>
      <c r="BF26" s="7"/>
      <c r="BG26" s="4"/>
      <c r="BH26" s="7"/>
      <c r="BI26" s="4"/>
      <c r="BJ26" s="7"/>
      <c r="BK26" s="4"/>
      <c r="BL26" s="7"/>
      <c r="BM26" s="4"/>
      <c r="BN26" s="7"/>
      <c r="BO26" s="4"/>
      <c r="BP26" s="7"/>
      <c r="BQ26" s="4"/>
      <c r="BR26" s="7"/>
      <c r="BS26" s="4"/>
      <c r="BT26" s="7"/>
      <c r="BU26" s="4"/>
      <c r="BV26" s="7"/>
      <c r="BW26" s="4"/>
      <c r="BX26" s="7"/>
      <c r="BY26" s="4"/>
      <c r="BZ26" s="7"/>
      <c r="CA26" s="4"/>
      <c r="CB26" s="7"/>
      <c r="CC26" s="4"/>
      <c r="CD26" s="7"/>
      <c r="CE26" s="4"/>
      <c r="CF26" s="7"/>
      <c r="CG26" s="4"/>
      <c r="CH26" s="7"/>
      <c r="CI26" s="4"/>
      <c r="CJ26" s="7"/>
      <c r="CK26" s="4"/>
      <c r="CL26" s="7"/>
      <c r="CM26" s="4"/>
      <c r="CN26" s="7"/>
      <c r="CO26" s="4"/>
      <c r="CP26" s="7"/>
      <c r="CQ26" s="4"/>
      <c r="CR26" s="7"/>
      <c r="CS26" s="4"/>
      <c r="CT26" s="7"/>
      <c r="CU26" s="4"/>
      <c r="CV26" s="7"/>
      <c r="CW26" s="4"/>
      <c r="CX26" s="7"/>
      <c r="CY26" s="4"/>
      <c r="CZ26" s="7"/>
      <c r="DA26" s="4"/>
      <c r="DB26" s="7"/>
      <c r="DC26" s="4"/>
      <c r="DD26" s="7"/>
      <c r="DE26" s="4"/>
      <c r="DF26" s="7"/>
      <c r="DG26" s="4"/>
      <c r="DH26" s="7"/>
      <c r="DI26" s="4"/>
      <c r="DJ26" s="7"/>
      <c r="DK26" s="4"/>
      <c r="DL26" s="7"/>
    </row>
    <row r="27" spans="1:116" ht="15" thickBot="1" x14ac:dyDescent="0.35">
      <c r="A27" s="4" t="s">
        <v>104</v>
      </c>
      <c r="B27" s="5" t="s">
        <v>105</v>
      </c>
      <c r="C27" s="5" t="s">
        <v>176</v>
      </c>
      <c r="D27" s="5" t="s">
        <v>115</v>
      </c>
      <c r="E27" s="5" t="s">
        <v>170</v>
      </c>
      <c r="F27" s="5" t="s">
        <v>111</v>
      </c>
      <c r="G27" s="5"/>
      <c r="H27" s="6">
        <f>SUMIF('Sunglasses BOM'!C25:C102,A27,'Sunglasses BOM'!E25:E102)</f>
        <v>8400</v>
      </c>
      <c r="I27" s="32" cm="1">
        <f t="array" ref="I27">SUMPRODUCT((MOD(COLUMN($P27:$FU27)-COLUMN($P27),2)=0)*($P27:$FU27))</f>
        <v>0</v>
      </c>
      <c r="J27" s="10">
        <f t="shared" si="49"/>
        <v>8400</v>
      </c>
      <c r="K27" s="42">
        <f>'Final Processes daily output'!$F$27</f>
        <v>30240</v>
      </c>
      <c r="L27" s="22">
        <f>_xlfn.XLOOKUP(A27,'Pad Printing DPR - PP'!$A$4:$A$27,'Pad Printing DPR - PP'!$I$4:$I$27)</f>
        <v>0</v>
      </c>
      <c r="M27" s="23">
        <f t="shared" si="50"/>
        <v>0</v>
      </c>
      <c r="N27" s="55">
        <f t="shared" si="51"/>
        <v>0.27777777777777779</v>
      </c>
      <c r="O27" s="4"/>
      <c r="P27" s="7"/>
      <c r="Q27" s="4"/>
      <c r="R27" s="7"/>
      <c r="S27" s="4"/>
      <c r="T27" s="7"/>
      <c r="U27" s="4"/>
      <c r="V27" s="7"/>
      <c r="W27" s="4"/>
      <c r="X27" s="7"/>
      <c r="Y27" s="4"/>
      <c r="Z27" s="7"/>
      <c r="AA27" s="4"/>
      <c r="AB27" s="7"/>
      <c r="AC27" s="4"/>
      <c r="AD27" s="7"/>
      <c r="AE27" s="4"/>
      <c r="AF27" s="7"/>
      <c r="AG27" s="4"/>
      <c r="AH27" s="7"/>
      <c r="AI27" s="4"/>
      <c r="AJ27" s="7"/>
      <c r="AK27" s="4"/>
      <c r="AL27" s="7"/>
      <c r="AM27" s="4"/>
      <c r="AN27" s="7"/>
      <c r="AO27" s="4"/>
      <c r="AP27" s="7"/>
      <c r="AQ27" s="4"/>
      <c r="AR27" s="7"/>
      <c r="AS27" s="4"/>
      <c r="AT27" s="7"/>
      <c r="AU27" s="4"/>
      <c r="AV27" s="7"/>
      <c r="AW27" s="4"/>
      <c r="AX27" s="7"/>
      <c r="AY27" s="4"/>
      <c r="AZ27" s="7"/>
      <c r="BA27" s="4"/>
      <c r="BB27" s="7"/>
      <c r="BC27" s="4"/>
      <c r="BD27" s="7"/>
      <c r="BE27" s="4"/>
      <c r="BF27" s="7"/>
      <c r="BG27" s="4"/>
      <c r="BH27" s="7"/>
      <c r="BI27" s="4"/>
      <c r="BJ27" s="7"/>
      <c r="BK27" s="4"/>
      <c r="BL27" s="7"/>
      <c r="BM27" s="4"/>
      <c r="BN27" s="7"/>
      <c r="BO27" s="4"/>
      <c r="BP27" s="7"/>
      <c r="BQ27" s="4"/>
      <c r="BR27" s="7"/>
      <c r="BS27" s="4"/>
      <c r="BT27" s="7"/>
      <c r="BU27" s="4"/>
      <c r="BV27" s="7"/>
      <c r="BW27" s="4"/>
      <c r="BX27" s="7"/>
      <c r="BY27" s="4"/>
      <c r="BZ27" s="7"/>
      <c r="CA27" s="4"/>
      <c r="CB27" s="7"/>
      <c r="CC27" s="4"/>
      <c r="CD27" s="7"/>
      <c r="CE27" s="4"/>
      <c r="CF27" s="7"/>
      <c r="CG27" s="4"/>
      <c r="CH27" s="7"/>
      <c r="CI27" s="4"/>
      <c r="CJ27" s="7"/>
      <c r="CK27" s="4"/>
      <c r="CL27" s="7"/>
      <c r="CM27" s="4"/>
      <c r="CN27" s="7"/>
      <c r="CO27" s="4"/>
      <c r="CP27" s="7"/>
      <c r="CQ27" s="4"/>
      <c r="CR27" s="7"/>
      <c r="CS27" s="4"/>
      <c r="CT27" s="7"/>
      <c r="CU27" s="4"/>
      <c r="CV27" s="7"/>
      <c r="CW27" s="4"/>
      <c r="CX27" s="7"/>
      <c r="CY27" s="4"/>
      <c r="CZ27" s="7"/>
      <c r="DA27" s="4"/>
      <c r="DB27" s="7"/>
      <c r="DC27" s="4"/>
      <c r="DD27" s="7"/>
      <c r="DE27" s="4"/>
      <c r="DF27" s="7"/>
      <c r="DG27" s="4"/>
      <c r="DH27" s="7"/>
      <c r="DI27" s="4"/>
      <c r="DJ27" s="7"/>
      <c r="DK27" s="4"/>
      <c r="DL27" s="7"/>
    </row>
  </sheetData>
  <mergeCells count="102">
    <mergeCell ref="DI2:DJ2"/>
    <mergeCell ref="DK2:DL2"/>
    <mergeCell ref="CW2:CX2"/>
    <mergeCell ref="CY2:CZ2"/>
    <mergeCell ref="DA2:DB2"/>
    <mergeCell ref="DC2:DD2"/>
    <mergeCell ref="DE2:DF2"/>
    <mergeCell ref="DG2:DH2"/>
    <mergeCell ref="CK2:CL2"/>
    <mergeCell ref="CM2:CN2"/>
    <mergeCell ref="CO2:CP2"/>
    <mergeCell ref="CQ2:CR2"/>
    <mergeCell ref="CS2:CT2"/>
    <mergeCell ref="CU2:CV2"/>
    <mergeCell ref="AY2:AZ2"/>
    <mergeCell ref="BY2:BZ2"/>
    <mergeCell ref="CA2:CB2"/>
    <mergeCell ref="CC2:CD2"/>
    <mergeCell ref="CE2:CF2"/>
    <mergeCell ref="CG2:CH2"/>
    <mergeCell ref="CI2:CJ2"/>
    <mergeCell ref="BM2:BN2"/>
    <mergeCell ref="BO2:BP2"/>
    <mergeCell ref="BQ2:BR2"/>
    <mergeCell ref="BS2:BT2"/>
    <mergeCell ref="BU2:BV2"/>
    <mergeCell ref="BW2:BX2"/>
    <mergeCell ref="DG1:DH1"/>
    <mergeCell ref="DI1:DJ1"/>
    <mergeCell ref="DK1:DL1"/>
    <mergeCell ref="CY1:CZ1"/>
    <mergeCell ref="DA1:DB1"/>
    <mergeCell ref="DC1:DD1"/>
    <mergeCell ref="DE1:DF1"/>
    <mergeCell ref="BQ1:BR1"/>
    <mergeCell ref="BS1:BT1"/>
    <mergeCell ref="BU1:BV1"/>
    <mergeCell ref="BK1:BL1"/>
    <mergeCell ref="BM1:BN1"/>
    <mergeCell ref="BO1:BP1"/>
    <mergeCell ref="AC2:AD2"/>
    <mergeCell ref="AE2:AF2"/>
    <mergeCell ref="AG2:AH2"/>
    <mergeCell ref="AI2:AJ2"/>
    <mergeCell ref="AK2:AL2"/>
    <mergeCell ref="AM2:AN2"/>
    <mergeCell ref="AY1:AZ1"/>
    <mergeCell ref="BA1:BB1"/>
    <mergeCell ref="BC1:BD1"/>
    <mergeCell ref="BE1:BF1"/>
    <mergeCell ref="BG1:BH1"/>
    <mergeCell ref="BI1:BJ1"/>
    <mergeCell ref="AM1:AN1"/>
    <mergeCell ref="AO1:AP1"/>
    <mergeCell ref="BA2:BB2"/>
    <mergeCell ref="BC2:BD2"/>
    <mergeCell ref="BE2:BF2"/>
    <mergeCell ref="BG2:BH2"/>
    <mergeCell ref="BI2:BJ2"/>
    <mergeCell ref="BK2:BL2"/>
    <mergeCell ref="AO2:AP2"/>
    <mergeCell ref="CU1:CV1"/>
    <mergeCell ref="CW1:CX1"/>
    <mergeCell ref="CI1:CJ1"/>
    <mergeCell ref="CK1:CL1"/>
    <mergeCell ref="CM1:CN1"/>
    <mergeCell ref="CO1:CP1"/>
    <mergeCell ref="CQ1:CR1"/>
    <mergeCell ref="CS1:CT1"/>
    <mergeCell ref="BW1:BX1"/>
    <mergeCell ref="BY1:BZ1"/>
    <mergeCell ref="CA1:CB1"/>
    <mergeCell ref="CC1:CD1"/>
    <mergeCell ref="CE1:CF1"/>
    <mergeCell ref="CG1:CH1"/>
    <mergeCell ref="AW1:AX1"/>
    <mergeCell ref="AA1:AB1"/>
    <mergeCell ref="AC1:AD1"/>
    <mergeCell ref="AE1:AF1"/>
    <mergeCell ref="AG1:AH1"/>
    <mergeCell ref="AI1:AJ1"/>
    <mergeCell ref="AK1:AL1"/>
    <mergeCell ref="O2:P2"/>
    <mergeCell ref="Q2:R2"/>
    <mergeCell ref="S2:T2"/>
    <mergeCell ref="U2:V2"/>
    <mergeCell ref="W2:X2"/>
    <mergeCell ref="Y2:Z2"/>
    <mergeCell ref="AA2:AB2"/>
    <mergeCell ref="AQ2:AR2"/>
    <mergeCell ref="AS2:AT2"/>
    <mergeCell ref="AU2:AV2"/>
    <mergeCell ref="AW2:AX2"/>
    <mergeCell ref="O1:P1"/>
    <mergeCell ref="Q1:R1"/>
    <mergeCell ref="S1:T1"/>
    <mergeCell ref="U1:V1"/>
    <mergeCell ref="W1:X1"/>
    <mergeCell ref="Y1:Z1"/>
    <mergeCell ref="AQ1:AR1"/>
    <mergeCell ref="AS1:AT1"/>
    <mergeCell ref="AU1:AV1"/>
  </mergeCells>
  <conditionalFormatting sqref="M4:M27">
    <cfRule type="cellIs" dxfId="6" priority="1" operator="lessThan">
      <formula>0</formula>
    </cfRule>
  </conditionalFormatting>
  <conditionalFormatting sqref="O2:DL2">
    <cfRule type="expression" dxfId="5" priority="2">
      <formula>SUM(O$4:O$17)&gt;$K$4</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36468-B19E-4807-BC1D-75413C4B22D3}">
  <dimension ref="A1:DK26"/>
  <sheetViews>
    <sheetView workbookViewId="0">
      <selection activeCell="H4" sqref="H4"/>
    </sheetView>
  </sheetViews>
  <sheetFormatPr defaultRowHeight="14.4" x14ac:dyDescent="0.3"/>
  <cols>
    <col min="1" max="1" width="13.21875" bestFit="1" customWidth="1"/>
    <col min="2" max="2" width="29.44140625" bestFit="1" customWidth="1"/>
    <col min="3" max="3" width="13.5546875" bestFit="1" customWidth="1"/>
    <col min="4" max="4" width="11.6640625" bestFit="1" customWidth="1"/>
    <col min="5" max="5" width="6.77734375" bestFit="1" customWidth="1"/>
    <col min="6" max="6" width="8.109375" bestFit="1" customWidth="1"/>
    <col min="7" max="7" width="7.44140625" bestFit="1" customWidth="1"/>
    <col min="8" max="8" width="7.77734375" bestFit="1" customWidth="1"/>
    <col min="9" max="9" width="8.33203125" bestFit="1" customWidth="1"/>
    <col min="11" max="11" width="8.5546875" bestFit="1" customWidth="1"/>
    <col min="12" max="12" width="7.5546875" bestFit="1" customWidth="1"/>
    <col min="13" max="13" width="6" bestFit="1" customWidth="1"/>
    <col min="14" max="14" width="7.5546875" bestFit="1" customWidth="1"/>
    <col min="15" max="15" width="6" bestFit="1" customWidth="1"/>
    <col min="16" max="16" width="7.5546875" bestFit="1" customWidth="1"/>
    <col min="17" max="17" width="6" bestFit="1" customWidth="1"/>
    <col min="18" max="18" width="7.5546875" bestFit="1" customWidth="1"/>
    <col min="19" max="19" width="6" bestFit="1" customWidth="1"/>
    <col min="20" max="20" width="7.5546875" bestFit="1" customWidth="1"/>
    <col min="21" max="21" width="6" bestFit="1" customWidth="1"/>
    <col min="22" max="22" width="7.5546875" bestFit="1" customWidth="1"/>
    <col min="23" max="23" width="6" bestFit="1" customWidth="1"/>
    <col min="24" max="24" width="7.5546875" bestFit="1" customWidth="1"/>
    <col min="25" max="25" width="6" bestFit="1" customWidth="1"/>
    <col min="26" max="26" width="7.5546875" bestFit="1" customWidth="1"/>
    <col min="27" max="27" width="6" bestFit="1" customWidth="1"/>
    <col min="28" max="28" width="7.5546875" bestFit="1" customWidth="1"/>
    <col min="29" max="29" width="6" bestFit="1" customWidth="1"/>
    <col min="30" max="30" width="7.5546875" bestFit="1" customWidth="1"/>
    <col min="31" max="31" width="6" bestFit="1" customWidth="1"/>
    <col min="32" max="32" width="7.5546875" bestFit="1" customWidth="1"/>
    <col min="33" max="33" width="6" bestFit="1" customWidth="1"/>
    <col min="34" max="34" width="7.5546875" bestFit="1" customWidth="1"/>
    <col min="35" max="35" width="6" bestFit="1" customWidth="1"/>
    <col min="36" max="36" width="7.5546875" bestFit="1" customWidth="1"/>
    <col min="37" max="37" width="6" bestFit="1" customWidth="1"/>
    <col min="38" max="38" width="7.5546875" bestFit="1" customWidth="1"/>
    <col min="39" max="39" width="6" bestFit="1" customWidth="1"/>
    <col min="40" max="40" width="7.5546875" bestFit="1" customWidth="1"/>
    <col min="41" max="41" width="6" bestFit="1" customWidth="1"/>
    <col min="42" max="42" width="7.5546875" bestFit="1" customWidth="1"/>
    <col min="43" max="43" width="6" bestFit="1" customWidth="1"/>
    <col min="44" max="44" width="7.5546875" bestFit="1" customWidth="1"/>
    <col min="45" max="45" width="6" bestFit="1" customWidth="1"/>
    <col min="46" max="46" width="7.5546875" bestFit="1" customWidth="1"/>
    <col min="47" max="47" width="6" bestFit="1" customWidth="1"/>
    <col min="48" max="48" width="7.5546875" bestFit="1" customWidth="1"/>
    <col min="49" max="49" width="6" bestFit="1" customWidth="1"/>
    <col min="50" max="50" width="7.5546875" bestFit="1" customWidth="1"/>
    <col min="51" max="51" width="6" bestFit="1" customWidth="1"/>
    <col min="52" max="52" width="7.5546875" bestFit="1" customWidth="1"/>
    <col min="53" max="53" width="6" bestFit="1" customWidth="1"/>
    <col min="54" max="54" width="7.5546875" bestFit="1" customWidth="1"/>
    <col min="55" max="55" width="6" bestFit="1" customWidth="1"/>
    <col min="56" max="56" width="7.5546875" bestFit="1" customWidth="1"/>
    <col min="57" max="57" width="6" bestFit="1" customWidth="1"/>
    <col min="58" max="58" width="7.5546875" bestFit="1" customWidth="1"/>
    <col min="59" max="59" width="6" bestFit="1" customWidth="1"/>
    <col min="60" max="60" width="7.5546875" bestFit="1" customWidth="1"/>
    <col min="61" max="61" width="6" bestFit="1" customWidth="1"/>
    <col min="62" max="62" width="7.5546875" bestFit="1" customWidth="1"/>
    <col min="63" max="63" width="6" bestFit="1" customWidth="1"/>
    <col min="64" max="64" width="7.5546875" bestFit="1" customWidth="1"/>
    <col min="65" max="65" width="6" bestFit="1" customWidth="1"/>
    <col min="66" max="66" width="7.5546875" bestFit="1" customWidth="1"/>
    <col min="67" max="67" width="6" bestFit="1" customWidth="1"/>
    <col min="68" max="68" width="7.5546875" bestFit="1" customWidth="1"/>
    <col min="69" max="69" width="6" bestFit="1" customWidth="1"/>
    <col min="70" max="70" width="7.5546875" bestFit="1" customWidth="1"/>
    <col min="71" max="71" width="6" bestFit="1" customWidth="1"/>
    <col min="72" max="72" width="7.5546875" bestFit="1" customWidth="1"/>
    <col min="73" max="73" width="6" bestFit="1" customWidth="1"/>
    <col min="74" max="74" width="7.5546875" bestFit="1" customWidth="1"/>
    <col min="75" max="75" width="6" bestFit="1" customWidth="1"/>
    <col min="76" max="76" width="7.5546875" bestFit="1" customWidth="1"/>
    <col min="77" max="77" width="6" bestFit="1" customWidth="1"/>
    <col min="78" max="78" width="7.5546875" bestFit="1" customWidth="1"/>
    <col min="79" max="79" width="6" bestFit="1" customWidth="1"/>
    <col min="80" max="80" width="7.5546875" bestFit="1" customWidth="1"/>
    <col min="81" max="81" width="6" bestFit="1" customWidth="1"/>
    <col min="82" max="82" width="7.5546875" bestFit="1" customWidth="1"/>
    <col min="83" max="83" width="6" bestFit="1" customWidth="1"/>
    <col min="84" max="84" width="7.5546875" bestFit="1" customWidth="1"/>
    <col min="85" max="85" width="6" bestFit="1" customWidth="1"/>
    <col min="86" max="86" width="7.5546875" bestFit="1" customWidth="1"/>
    <col min="87" max="87" width="6" bestFit="1" customWidth="1"/>
    <col min="88" max="88" width="7.5546875" bestFit="1" customWidth="1"/>
    <col min="89" max="89" width="6" bestFit="1" customWidth="1"/>
    <col min="90" max="90" width="7.5546875" bestFit="1" customWidth="1"/>
    <col min="91" max="91" width="6" bestFit="1" customWidth="1"/>
    <col min="92" max="92" width="7.5546875" bestFit="1" customWidth="1"/>
    <col min="93" max="93" width="6" bestFit="1" customWidth="1"/>
    <col min="94" max="94" width="7.5546875" bestFit="1" customWidth="1"/>
    <col min="95" max="95" width="6" bestFit="1" customWidth="1"/>
    <col min="96" max="96" width="7.5546875" bestFit="1" customWidth="1"/>
    <col min="97" max="97" width="6" bestFit="1" customWidth="1"/>
    <col min="98" max="98" width="7.5546875" bestFit="1" customWidth="1"/>
    <col min="99" max="99" width="6" bestFit="1" customWidth="1"/>
    <col min="100" max="100" width="7.5546875" bestFit="1" customWidth="1"/>
    <col min="101" max="101" width="6" bestFit="1" customWidth="1"/>
    <col min="102" max="102" width="7.5546875" bestFit="1" customWidth="1"/>
    <col min="103" max="103" width="6" bestFit="1" customWidth="1"/>
    <col min="104" max="104" width="7.5546875" bestFit="1" customWidth="1"/>
    <col min="105" max="105" width="6" bestFit="1" customWidth="1"/>
    <col min="106" max="106" width="7.5546875" bestFit="1" customWidth="1"/>
    <col min="107" max="107" width="6" bestFit="1" customWidth="1"/>
    <col min="108" max="108" width="7.5546875" bestFit="1" customWidth="1"/>
    <col min="109" max="109" width="6" bestFit="1" customWidth="1"/>
    <col min="110" max="110" width="7.5546875" bestFit="1" customWidth="1"/>
    <col min="111" max="111" width="6" bestFit="1" customWidth="1"/>
    <col min="112" max="112" width="7.5546875" bestFit="1" customWidth="1"/>
    <col min="113" max="113" width="6" bestFit="1" customWidth="1"/>
    <col min="114" max="114" width="7.5546875" bestFit="1" customWidth="1"/>
    <col min="115" max="115" width="6" bestFit="1" customWidth="1"/>
  </cols>
  <sheetData>
    <row r="1" spans="1:115" x14ac:dyDescent="0.3">
      <c r="A1" s="33" t="s">
        <v>418</v>
      </c>
      <c r="B1" s="34" t="s">
        <v>6</v>
      </c>
      <c r="C1" s="47"/>
      <c r="D1" s="47"/>
      <c r="E1" s="48"/>
      <c r="F1" s="49"/>
      <c r="G1" s="49"/>
      <c r="H1" s="49"/>
      <c r="I1" s="50"/>
      <c r="J1" s="50"/>
      <c r="K1" s="34"/>
      <c r="L1" s="106" t="s">
        <v>427</v>
      </c>
      <c r="M1" s="108"/>
      <c r="N1" s="106" t="s">
        <v>428</v>
      </c>
      <c r="O1" s="108"/>
      <c r="P1" s="106" t="s">
        <v>429</v>
      </c>
      <c r="Q1" s="116"/>
      <c r="R1" s="106" t="s">
        <v>430</v>
      </c>
      <c r="S1" s="108"/>
      <c r="T1" s="106" t="s">
        <v>431</v>
      </c>
      <c r="U1" s="116"/>
      <c r="V1" s="106" t="s">
        <v>432</v>
      </c>
      <c r="W1" s="108"/>
      <c r="X1" s="106" t="s">
        <v>433</v>
      </c>
      <c r="Y1" s="116"/>
      <c r="Z1" s="106" t="s">
        <v>434</v>
      </c>
      <c r="AA1" s="108"/>
      <c r="AB1" s="106" t="s">
        <v>435</v>
      </c>
      <c r="AC1" s="116"/>
      <c r="AD1" s="106" t="s">
        <v>436</v>
      </c>
      <c r="AE1" s="108"/>
      <c r="AF1" s="106" t="s">
        <v>437</v>
      </c>
      <c r="AG1" s="116"/>
      <c r="AH1" s="106" t="s">
        <v>438</v>
      </c>
      <c r="AI1" s="108"/>
      <c r="AJ1" s="106" t="s">
        <v>439</v>
      </c>
      <c r="AK1" s="116"/>
      <c r="AL1" s="106" t="s">
        <v>440</v>
      </c>
      <c r="AM1" s="108"/>
      <c r="AN1" s="106" t="s">
        <v>441</v>
      </c>
      <c r="AO1" s="116"/>
      <c r="AP1" s="106" t="s">
        <v>442</v>
      </c>
      <c r="AQ1" s="108"/>
      <c r="AR1" s="106" t="s">
        <v>443</v>
      </c>
      <c r="AS1" s="116"/>
      <c r="AT1" s="106" t="s">
        <v>444</v>
      </c>
      <c r="AU1" s="108"/>
      <c r="AV1" s="106" t="s">
        <v>445</v>
      </c>
      <c r="AW1" s="116"/>
      <c r="AX1" s="106" t="s">
        <v>446</v>
      </c>
      <c r="AY1" s="108"/>
      <c r="AZ1" s="106" t="s">
        <v>447</v>
      </c>
      <c r="BA1" s="116"/>
      <c r="BB1" s="106" t="s">
        <v>448</v>
      </c>
      <c r="BC1" s="108"/>
      <c r="BD1" s="106" t="s">
        <v>449</v>
      </c>
      <c r="BE1" s="116"/>
      <c r="BF1" s="106" t="s">
        <v>450</v>
      </c>
      <c r="BG1" s="108"/>
      <c r="BH1" s="106" t="s">
        <v>451</v>
      </c>
      <c r="BI1" s="116"/>
      <c r="BJ1" s="106" t="s">
        <v>452</v>
      </c>
      <c r="BK1" s="108"/>
      <c r="BL1" s="106" t="s">
        <v>453</v>
      </c>
      <c r="BM1" s="116"/>
      <c r="BN1" s="106" t="s">
        <v>454</v>
      </c>
      <c r="BO1" s="108"/>
      <c r="BP1" s="106" t="s">
        <v>455</v>
      </c>
      <c r="BQ1" s="116"/>
      <c r="BR1" s="106" t="s">
        <v>456</v>
      </c>
      <c r="BS1" s="108"/>
      <c r="BT1" s="106" t="s">
        <v>457</v>
      </c>
      <c r="BU1" s="116"/>
      <c r="BV1" s="106" t="s">
        <v>458</v>
      </c>
      <c r="BW1" s="108"/>
      <c r="BX1" s="106" t="s">
        <v>459</v>
      </c>
      <c r="BY1" s="116"/>
      <c r="BZ1" s="106" t="s">
        <v>460</v>
      </c>
      <c r="CA1" s="108"/>
      <c r="CB1" s="106" t="s">
        <v>461</v>
      </c>
      <c r="CC1" s="116"/>
      <c r="CD1" s="106" t="s">
        <v>462</v>
      </c>
      <c r="CE1" s="108"/>
      <c r="CF1" s="106" t="s">
        <v>463</v>
      </c>
      <c r="CG1" s="116"/>
      <c r="CH1" s="106" t="s">
        <v>464</v>
      </c>
      <c r="CI1" s="108"/>
      <c r="CJ1" s="106" t="s">
        <v>465</v>
      </c>
      <c r="CK1" s="116"/>
      <c r="CL1" s="106" t="s">
        <v>466</v>
      </c>
      <c r="CM1" s="108"/>
      <c r="CN1" s="106" t="s">
        <v>467</v>
      </c>
      <c r="CO1" s="116"/>
      <c r="CP1" s="106" t="s">
        <v>468</v>
      </c>
      <c r="CQ1" s="108"/>
      <c r="CR1" s="106" t="s">
        <v>469</v>
      </c>
      <c r="CS1" s="116"/>
      <c r="CT1" s="106" t="s">
        <v>470</v>
      </c>
      <c r="CU1" s="108"/>
      <c r="CV1" s="106" t="s">
        <v>471</v>
      </c>
      <c r="CW1" s="116"/>
      <c r="CX1" s="106" t="s">
        <v>472</v>
      </c>
      <c r="CY1" s="108"/>
      <c r="CZ1" s="106" t="s">
        <v>473</v>
      </c>
      <c r="DA1" s="116"/>
      <c r="DB1" s="106" t="s">
        <v>474</v>
      </c>
      <c r="DC1" s="108"/>
      <c r="DD1" s="106" t="s">
        <v>475</v>
      </c>
      <c r="DE1" s="116"/>
      <c r="DF1" s="106" t="s">
        <v>476</v>
      </c>
      <c r="DG1" s="108"/>
      <c r="DH1" s="106" t="s">
        <v>477</v>
      </c>
      <c r="DI1" s="108"/>
      <c r="DJ1" s="106" t="s">
        <v>477</v>
      </c>
      <c r="DK1" s="108"/>
    </row>
    <row r="2" spans="1:115" ht="15" thickBot="1" x14ac:dyDescent="0.35">
      <c r="A2" s="35"/>
      <c r="B2" s="36"/>
      <c r="C2" s="46"/>
      <c r="D2" s="46"/>
      <c r="E2" s="37"/>
      <c r="F2" s="5"/>
      <c r="G2" s="5"/>
      <c r="H2" s="41"/>
      <c r="I2" s="11"/>
      <c r="J2" s="11"/>
      <c r="K2" s="7"/>
      <c r="L2" s="115">
        <v>45967</v>
      </c>
      <c r="M2" s="111"/>
      <c r="N2" s="119">
        <f>WORKDAY.INTL(L2,1,"0000001")</f>
        <v>45968</v>
      </c>
      <c r="O2" s="120"/>
      <c r="P2" s="119">
        <f t="shared" ref="P2" si="0">WORKDAY.INTL(N2,1,"0000001")</f>
        <v>45969</v>
      </c>
      <c r="Q2" s="120"/>
      <c r="R2" s="119">
        <f t="shared" ref="R2" si="1">WORKDAY.INTL(P2,1,"0000001")</f>
        <v>45971</v>
      </c>
      <c r="S2" s="120"/>
      <c r="T2" s="119">
        <f t="shared" ref="T2" si="2">WORKDAY.INTL(R2,1,"0000001")</f>
        <v>45972</v>
      </c>
      <c r="U2" s="120"/>
      <c r="V2" s="119">
        <f t="shared" ref="V2" si="3">WORKDAY.INTL(T2,1,"0000001")</f>
        <v>45973</v>
      </c>
      <c r="W2" s="120"/>
      <c r="X2" s="119">
        <f t="shared" ref="X2" si="4">WORKDAY.INTL(V2,1,"0000001")</f>
        <v>45974</v>
      </c>
      <c r="Y2" s="120"/>
      <c r="Z2" s="119">
        <f t="shared" ref="Z2" si="5">WORKDAY.INTL(X2,1,"0000001")</f>
        <v>45975</v>
      </c>
      <c r="AA2" s="120"/>
      <c r="AB2" s="119">
        <f t="shared" ref="AB2" si="6">WORKDAY.INTL(Z2,1,"0000001")</f>
        <v>45976</v>
      </c>
      <c r="AC2" s="120"/>
      <c r="AD2" s="119">
        <f t="shared" ref="AD2" si="7">WORKDAY.INTL(AB2,1,"0000001")</f>
        <v>45978</v>
      </c>
      <c r="AE2" s="120"/>
      <c r="AF2" s="119">
        <f t="shared" ref="AF2" si="8">WORKDAY.INTL(AD2,1,"0000001")</f>
        <v>45979</v>
      </c>
      <c r="AG2" s="120"/>
      <c r="AH2" s="119">
        <f t="shared" ref="AH2" si="9">WORKDAY.INTL(AF2,1,"0000001")</f>
        <v>45980</v>
      </c>
      <c r="AI2" s="120"/>
      <c r="AJ2" s="119">
        <f t="shared" ref="AJ2" si="10">WORKDAY.INTL(AH2,1,"0000001")</f>
        <v>45981</v>
      </c>
      <c r="AK2" s="120"/>
      <c r="AL2" s="119">
        <f t="shared" ref="AL2" si="11">WORKDAY.INTL(AJ2,1,"0000001")</f>
        <v>45982</v>
      </c>
      <c r="AM2" s="120"/>
      <c r="AN2" s="119">
        <f t="shared" ref="AN2" si="12">WORKDAY.INTL(AL2,1,"0000001")</f>
        <v>45983</v>
      </c>
      <c r="AO2" s="120"/>
      <c r="AP2" s="119">
        <f t="shared" ref="AP2" si="13">WORKDAY.INTL(AN2,1,"0000001")</f>
        <v>45985</v>
      </c>
      <c r="AQ2" s="120"/>
      <c r="AR2" s="119">
        <f t="shared" ref="AR2" si="14">WORKDAY.INTL(AP2,1,"0000001")</f>
        <v>45986</v>
      </c>
      <c r="AS2" s="120"/>
      <c r="AT2" s="119">
        <f t="shared" ref="AT2" si="15">WORKDAY.INTL(AR2,1,"0000001")</f>
        <v>45987</v>
      </c>
      <c r="AU2" s="120"/>
      <c r="AV2" s="119">
        <f t="shared" ref="AV2" si="16">WORKDAY.INTL(AT2,1,"0000001")</f>
        <v>45988</v>
      </c>
      <c r="AW2" s="120"/>
      <c r="AX2" s="119">
        <f t="shared" ref="AX2" si="17">WORKDAY.INTL(AV2,1,"0000001")</f>
        <v>45989</v>
      </c>
      <c r="AY2" s="120"/>
      <c r="AZ2" s="119">
        <f t="shared" ref="AZ2" si="18">WORKDAY.INTL(AX2,1,"0000001")</f>
        <v>45990</v>
      </c>
      <c r="BA2" s="120"/>
      <c r="BB2" s="119">
        <f t="shared" ref="BB2" si="19">WORKDAY.INTL(AZ2,1,"0000001")</f>
        <v>45992</v>
      </c>
      <c r="BC2" s="120"/>
      <c r="BD2" s="119">
        <f t="shared" ref="BD2" si="20">WORKDAY.INTL(BB2,1,"0000001")</f>
        <v>45993</v>
      </c>
      <c r="BE2" s="120"/>
      <c r="BF2" s="119">
        <f t="shared" ref="BF2" si="21">WORKDAY.INTL(BD2,1,"0000001")</f>
        <v>45994</v>
      </c>
      <c r="BG2" s="120"/>
      <c r="BH2" s="119">
        <f t="shared" ref="BH2" si="22">WORKDAY.INTL(BF2,1,"0000001")</f>
        <v>45995</v>
      </c>
      <c r="BI2" s="120"/>
      <c r="BJ2" s="119">
        <f t="shared" ref="BJ2" si="23">WORKDAY.INTL(BH2,1,"0000001")</f>
        <v>45996</v>
      </c>
      <c r="BK2" s="120"/>
      <c r="BL2" s="119">
        <f t="shared" ref="BL2" si="24">WORKDAY.INTL(BJ2,1,"0000001")</f>
        <v>45997</v>
      </c>
      <c r="BM2" s="120"/>
      <c r="BN2" s="119">
        <f t="shared" ref="BN2" si="25">WORKDAY.INTL(BL2,1,"0000001")</f>
        <v>45999</v>
      </c>
      <c r="BO2" s="120"/>
      <c r="BP2" s="119">
        <f t="shared" ref="BP2" si="26">WORKDAY.INTL(BN2,1,"0000001")</f>
        <v>46000</v>
      </c>
      <c r="BQ2" s="120"/>
      <c r="BR2" s="119">
        <f t="shared" ref="BR2" si="27">WORKDAY.INTL(BP2,1,"0000001")</f>
        <v>46001</v>
      </c>
      <c r="BS2" s="120"/>
      <c r="BT2" s="119">
        <f t="shared" ref="BT2" si="28">WORKDAY.INTL(BR2,1,"0000001")</f>
        <v>46002</v>
      </c>
      <c r="BU2" s="120"/>
      <c r="BV2" s="119">
        <f t="shared" ref="BV2" si="29">WORKDAY.INTL(BT2,1,"0000001")</f>
        <v>46003</v>
      </c>
      <c r="BW2" s="120"/>
      <c r="BX2" s="119">
        <f t="shared" ref="BX2" si="30">WORKDAY.INTL(BV2,1,"0000001")</f>
        <v>46004</v>
      </c>
      <c r="BY2" s="120"/>
      <c r="BZ2" s="119">
        <f t="shared" ref="BZ2" si="31">WORKDAY.INTL(BX2,1,"0000001")</f>
        <v>46006</v>
      </c>
      <c r="CA2" s="120"/>
      <c r="CB2" s="119">
        <f t="shared" ref="CB2" si="32">WORKDAY.INTL(BZ2,1,"0000001")</f>
        <v>46007</v>
      </c>
      <c r="CC2" s="120"/>
      <c r="CD2" s="119">
        <f t="shared" ref="CD2" si="33">WORKDAY.INTL(CB2,1,"0000001")</f>
        <v>46008</v>
      </c>
      <c r="CE2" s="120"/>
      <c r="CF2" s="119">
        <f t="shared" ref="CF2" si="34">WORKDAY.INTL(CD2,1,"0000001")</f>
        <v>46009</v>
      </c>
      <c r="CG2" s="120"/>
      <c r="CH2" s="119">
        <f t="shared" ref="CH2" si="35">WORKDAY.INTL(CF2,1,"0000001")</f>
        <v>46010</v>
      </c>
      <c r="CI2" s="120"/>
      <c r="CJ2" s="119">
        <f t="shared" ref="CJ2" si="36">WORKDAY.INTL(CH2,1,"0000001")</f>
        <v>46011</v>
      </c>
      <c r="CK2" s="120"/>
      <c r="CL2" s="119">
        <f t="shared" ref="CL2" si="37">WORKDAY.INTL(CJ2,1,"0000001")</f>
        <v>46013</v>
      </c>
      <c r="CM2" s="120"/>
      <c r="CN2" s="119">
        <f t="shared" ref="CN2" si="38">WORKDAY.INTL(CL2,1,"0000001")</f>
        <v>46014</v>
      </c>
      <c r="CO2" s="120"/>
      <c r="CP2" s="119">
        <f t="shared" ref="CP2" si="39">WORKDAY.INTL(CN2,1,"0000001")</f>
        <v>46015</v>
      </c>
      <c r="CQ2" s="120"/>
      <c r="CR2" s="119">
        <f t="shared" ref="CR2" si="40">WORKDAY.INTL(CP2,1,"0000001")</f>
        <v>46016</v>
      </c>
      <c r="CS2" s="120"/>
      <c r="CT2" s="119">
        <f t="shared" ref="CT2" si="41">WORKDAY.INTL(CR2,1,"0000001")</f>
        <v>46017</v>
      </c>
      <c r="CU2" s="120"/>
      <c r="CV2" s="119">
        <f t="shared" ref="CV2" si="42">WORKDAY.INTL(CT2,1,"0000001")</f>
        <v>46018</v>
      </c>
      <c r="CW2" s="120"/>
      <c r="CX2" s="119">
        <f t="shared" ref="CX2" si="43">WORKDAY.INTL(CV2,1,"0000001")</f>
        <v>46020</v>
      </c>
      <c r="CY2" s="120"/>
      <c r="CZ2" s="119">
        <f t="shared" ref="CZ2" si="44">WORKDAY.INTL(CX2,1,"0000001")</f>
        <v>46021</v>
      </c>
      <c r="DA2" s="120"/>
      <c r="DB2" s="119">
        <f t="shared" ref="DB2" si="45">WORKDAY.INTL(CZ2,1,"0000001")</f>
        <v>46022</v>
      </c>
      <c r="DC2" s="120"/>
      <c r="DD2" s="119">
        <f t="shared" ref="DD2" si="46">WORKDAY.INTL(DB2,1,"0000001")</f>
        <v>46023</v>
      </c>
      <c r="DE2" s="120"/>
      <c r="DF2" s="119">
        <f t="shared" ref="DF2" si="47">WORKDAY.INTL(DD2,1,"0000001")</f>
        <v>46024</v>
      </c>
      <c r="DG2" s="120"/>
      <c r="DH2" s="119">
        <f t="shared" ref="DH2" si="48">WORKDAY.INTL(DF2,1,"0000001")</f>
        <v>46025</v>
      </c>
      <c r="DI2" s="120"/>
      <c r="DJ2" s="119">
        <f t="shared" ref="DJ2" si="49">WORKDAY.INTL(DH2,1,"0000001")</f>
        <v>46027</v>
      </c>
      <c r="DK2" s="120"/>
    </row>
    <row r="3" spans="1:115" ht="72" x14ac:dyDescent="0.3">
      <c r="A3" s="38" t="s">
        <v>505</v>
      </c>
      <c r="B3" s="39" t="s">
        <v>3</v>
      </c>
      <c r="C3" s="49" t="s">
        <v>180</v>
      </c>
      <c r="D3" s="49" t="s">
        <v>503</v>
      </c>
      <c r="E3" s="40" t="s">
        <v>419</v>
      </c>
      <c r="F3" s="51" t="s">
        <v>420</v>
      </c>
      <c r="G3" s="52" t="s">
        <v>421</v>
      </c>
      <c r="H3" s="38" t="s">
        <v>423</v>
      </c>
      <c r="I3" s="39" t="s">
        <v>506</v>
      </c>
      <c r="J3" s="40" t="s">
        <v>508</v>
      </c>
      <c r="K3" s="53" t="s">
        <v>424</v>
      </c>
      <c r="L3" s="30" t="s">
        <v>425</v>
      </c>
      <c r="M3" s="31" t="s">
        <v>426</v>
      </c>
      <c r="N3" s="30" t="s">
        <v>425</v>
      </c>
      <c r="O3" s="31" t="s">
        <v>426</v>
      </c>
      <c r="P3" s="30" t="s">
        <v>425</v>
      </c>
      <c r="Q3" s="31" t="s">
        <v>426</v>
      </c>
      <c r="R3" s="30" t="s">
        <v>425</v>
      </c>
      <c r="S3" s="31" t="s">
        <v>426</v>
      </c>
      <c r="T3" s="30" t="s">
        <v>425</v>
      </c>
      <c r="U3" s="31" t="s">
        <v>426</v>
      </c>
      <c r="V3" s="30" t="s">
        <v>425</v>
      </c>
      <c r="W3" s="31" t="s">
        <v>426</v>
      </c>
      <c r="X3" s="30" t="s">
        <v>425</v>
      </c>
      <c r="Y3" s="31" t="s">
        <v>426</v>
      </c>
      <c r="Z3" s="30" t="s">
        <v>425</v>
      </c>
      <c r="AA3" s="31" t="s">
        <v>426</v>
      </c>
      <c r="AB3" s="30" t="s">
        <v>425</v>
      </c>
      <c r="AC3" s="31" t="s">
        <v>426</v>
      </c>
      <c r="AD3" s="30" t="s">
        <v>425</v>
      </c>
      <c r="AE3" s="31" t="s">
        <v>426</v>
      </c>
      <c r="AF3" s="30" t="s">
        <v>425</v>
      </c>
      <c r="AG3" s="31" t="s">
        <v>426</v>
      </c>
      <c r="AH3" s="30" t="s">
        <v>425</v>
      </c>
      <c r="AI3" s="31" t="s">
        <v>426</v>
      </c>
      <c r="AJ3" s="30" t="s">
        <v>425</v>
      </c>
      <c r="AK3" s="31" t="s">
        <v>426</v>
      </c>
      <c r="AL3" s="30" t="s">
        <v>425</v>
      </c>
      <c r="AM3" s="31" t="s">
        <v>426</v>
      </c>
      <c r="AN3" s="30" t="s">
        <v>425</v>
      </c>
      <c r="AO3" s="31" t="s">
        <v>426</v>
      </c>
      <c r="AP3" s="30" t="s">
        <v>425</v>
      </c>
      <c r="AQ3" s="31" t="s">
        <v>426</v>
      </c>
      <c r="AR3" s="30" t="s">
        <v>425</v>
      </c>
      <c r="AS3" s="31" t="s">
        <v>426</v>
      </c>
      <c r="AT3" s="30" t="s">
        <v>425</v>
      </c>
      <c r="AU3" s="31" t="s">
        <v>426</v>
      </c>
      <c r="AV3" s="30" t="s">
        <v>425</v>
      </c>
      <c r="AW3" s="31" t="s">
        <v>426</v>
      </c>
      <c r="AX3" s="30" t="s">
        <v>425</v>
      </c>
      <c r="AY3" s="31" t="s">
        <v>426</v>
      </c>
      <c r="AZ3" s="30" t="s">
        <v>425</v>
      </c>
      <c r="BA3" s="31" t="s">
        <v>426</v>
      </c>
      <c r="BB3" s="30" t="s">
        <v>425</v>
      </c>
      <c r="BC3" s="31" t="s">
        <v>426</v>
      </c>
      <c r="BD3" s="30" t="s">
        <v>425</v>
      </c>
      <c r="BE3" s="31" t="s">
        <v>426</v>
      </c>
      <c r="BF3" s="30" t="s">
        <v>425</v>
      </c>
      <c r="BG3" s="31" t="s">
        <v>426</v>
      </c>
      <c r="BH3" s="30" t="s">
        <v>425</v>
      </c>
      <c r="BI3" s="31" t="s">
        <v>426</v>
      </c>
      <c r="BJ3" s="30" t="s">
        <v>425</v>
      </c>
      <c r="BK3" s="31" t="s">
        <v>426</v>
      </c>
      <c r="BL3" s="30" t="s">
        <v>425</v>
      </c>
      <c r="BM3" s="31" t="s">
        <v>426</v>
      </c>
      <c r="BN3" s="30" t="s">
        <v>425</v>
      </c>
      <c r="BO3" s="31" t="s">
        <v>426</v>
      </c>
      <c r="BP3" s="30" t="s">
        <v>425</v>
      </c>
      <c r="BQ3" s="31" t="s">
        <v>426</v>
      </c>
      <c r="BR3" s="30" t="s">
        <v>425</v>
      </c>
      <c r="BS3" s="31" t="s">
        <v>426</v>
      </c>
      <c r="BT3" s="30" t="s">
        <v>425</v>
      </c>
      <c r="BU3" s="31" t="s">
        <v>426</v>
      </c>
      <c r="BV3" s="30" t="s">
        <v>425</v>
      </c>
      <c r="BW3" s="31" t="s">
        <v>426</v>
      </c>
      <c r="BX3" s="30" t="s">
        <v>425</v>
      </c>
      <c r="BY3" s="31" t="s">
        <v>426</v>
      </c>
      <c r="BZ3" s="30" t="s">
        <v>425</v>
      </c>
      <c r="CA3" s="31" t="s">
        <v>426</v>
      </c>
      <c r="CB3" s="30" t="s">
        <v>425</v>
      </c>
      <c r="CC3" s="31" t="s">
        <v>426</v>
      </c>
      <c r="CD3" s="30" t="s">
        <v>425</v>
      </c>
      <c r="CE3" s="31" t="s">
        <v>426</v>
      </c>
      <c r="CF3" s="30" t="s">
        <v>425</v>
      </c>
      <c r="CG3" s="31" t="s">
        <v>426</v>
      </c>
      <c r="CH3" s="30" t="s">
        <v>425</v>
      </c>
      <c r="CI3" s="31" t="s">
        <v>426</v>
      </c>
      <c r="CJ3" s="30" t="s">
        <v>425</v>
      </c>
      <c r="CK3" s="31" t="s">
        <v>426</v>
      </c>
      <c r="CL3" s="30" t="s">
        <v>425</v>
      </c>
      <c r="CM3" s="31" t="s">
        <v>426</v>
      </c>
      <c r="CN3" s="30" t="s">
        <v>425</v>
      </c>
      <c r="CO3" s="31" t="s">
        <v>426</v>
      </c>
      <c r="CP3" s="30" t="s">
        <v>425</v>
      </c>
      <c r="CQ3" s="31" t="s">
        <v>426</v>
      </c>
      <c r="CR3" s="30" t="s">
        <v>425</v>
      </c>
      <c r="CS3" s="31" t="s">
        <v>426</v>
      </c>
      <c r="CT3" s="30" t="s">
        <v>425</v>
      </c>
      <c r="CU3" s="31" t="s">
        <v>426</v>
      </c>
      <c r="CV3" s="30" t="s">
        <v>425</v>
      </c>
      <c r="CW3" s="31" t="s">
        <v>426</v>
      </c>
      <c r="CX3" s="30" t="s">
        <v>425</v>
      </c>
      <c r="CY3" s="31" t="s">
        <v>426</v>
      </c>
      <c r="CZ3" s="30" t="s">
        <v>425</v>
      </c>
      <c r="DA3" s="31" t="s">
        <v>426</v>
      </c>
      <c r="DB3" s="30" t="s">
        <v>425</v>
      </c>
      <c r="DC3" s="31" t="s">
        <v>426</v>
      </c>
      <c r="DD3" s="30" t="s">
        <v>425</v>
      </c>
      <c r="DE3" s="31" t="s">
        <v>426</v>
      </c>
      <c r="DF3" s="30" t="s">
        <v>425</v>
      </c>
      <c r="DG3" s="31" t="s">
        <v>426</v>
      </c>
      <c r="DH3" s="30" t="s">
        <v>425</v>
      </c>
      <c r="DI3" s="31" t="s">
        <v>426</v>
      </c>
      <c r="DJ3" s="30" t="s">
        <v>425</v>
      </c>
      <c r="DK3" s="31" t="s">
        <v>426</v>
      </c>
    </row>
    <row r="4" spans="1:115" x14ac:dyDescent="0.3">
      <c r="A4" s="2" t="s">
        <v>8</v>
      </c>
      <c r="B4" s="3" t="s">
        <v>9</v>
      </c>
      <c r="C4" s="3" t="s">
        <v>155</v>
      </c>
      <c r="D4" s="3" t="s">
        <v>111</v>
      </c>
      <c r="E4" s="6">
        <f>SUMIF('Sunglasses BOM'!$D$1:$D$79,B4,'Sunglasses BOM'!$E$1:$E$79)</f>
        <v>218400</v>
      </c>
      <c r="F4" s="32" cm="1">
        <f t="array" ref="F4">SUMPRODUCT((MOD(COLUMN($M4:$FR4)-COLUMN($M4),2)=0)*($M4:$FR4))</f>
        <v>0</v>
      </c>
      <c r="G4" s="9">
        <f>E4-F4</f>
        <v>218400</v>
      </c>
      <c r="H4" s="42">
        <f>'Final Processes daily output'!$F$30</f>
        <v>29160</v>
      </c>
      <c r="I4" s="22">
        <f>_xlfn.XLOOKUP(A4,'Lens Assembly DPR - ABS'!$A$4:$A$26,'Lens Assembly DPR - ABS'!$F$4:$F$26)</f>
        <v>0</v>
      </c>
      <c r="J4" s="23">
        <f>I4-F4</f>
        <v>0</v>
      </c>
      <c r="K4" s="54">
        <f t="shared" ref="K4:K17" si="50">G4/H4</f>
        <v>7.4897119341563787</v>
      </c>
      <c r="L4" s="2"/>
      <c r="M4" s="6"/>
      <c r="N4" s="2"/>
      <c r="O4" s="6"/>
      <c r="P4" s="2"/>
      <c r="Q4" s="6"/>
      <c r="R4" s="2"/>
      <c r="S4" s="6"/>
      <c r="T4" s="2"/>
      <c r="U4" s="6"/>
      <c r="V4" s="2"/>
      <c r="W4" s="6"/>
      <c r="X4" s="2"/>
      <c r="Y4" s="6"/>
      <c r="Z4" s="2"/>
      <c r="AA4" s="6"/>
      <c r="AB4" s="2"/>
      <c r="AC4" s="6"/>
      <c r="AD4" s="2"/>
      <c r="AE4" s="6"/>
      <c r="AF4" s="2"/>
      <c r="AG4" s="6"/>
      <c r="AH4" s="2"/>
      <c r="AI4" s="6"/>
      <c r="AJ4" s="2"/>
      <c r="AK4" s="6"/>
      <c r="AL4" s="2"/>
      <c r="AM4" s="6"/>
      <c r="AN4" s="2"/>
      <c r="AO4" s="6"/>
      <c r="AP4" s="2"/>
      <c r="AQ4" s="6"/>
      <c r="AR4" s="2"/>
      <c r="AS4" s="6"/>
      <c r="AT4" s="2"/>
      <c r="AU4" s="6"/>
      <c r="AV4" s="2"/>
      <c r="AW4" s="6"/>
      <c r="AX4" s="2"/>
      <c r="AY4" s="6"/>
      <c r="AZ4" s="2"/>
      <c r="BA4" s="6"/>
      <c r="BB4" s="2"/>
      <c r="BC4" s="6"/>
      <c r="BD4" s="2"/>
      <c r="BE4" s="6"/>
      <c r="BF4" s="2"/>
      <c r="BG4" s="6"/>
      <c r="BH4" s="2"/>
      <c r="BI4" s="6"/>
      <c r="BJ4" s="2"/>
      <c r="BK4" s="6"/>
      <c r="BL4" s="2"/>
      <c r="BM4" s="6"/>
      <c r="BN4" s="2"/>
      <c r="BO4" s="6"/>
      <c r="BP4" s="2"/>
      <c r="BQ4" s="6"/>
      <c r="BR4" s="2"/>
      <c r="BS4" s="6"/>
      <c r="BT4" s="2"/>
      <c r="BU4" s="6"/>
      <c r="BV4" s="2"/>
      <c r="BW4" s="6"/>
      <c r="BX4" s="2"/>
      <c r="BY4" s="6"/>
      <c r="BZ4" s="2"/>
      <c r="CA4" s="6"/>
      <c r="CB4" s="2"/>
      <c r="CC4" s="6"/>
      <c r="CD4" s="2"/>
      <c r="CE4" s="6"/>
      <c r="CF4" s="2"/>
      <c r="CG4" s="6"/>
      <c r="CH4" s="2"/>
      <c r="CI4" s="6"/>
      <c r="CJ4" s="2"/>
      <c r="CK4" s="6"/>
      <c r="CL4" s="2"/>
      <c r="CM4" s="6"/>
      <c r="CN4" s="2"/>
      <c r="CO4" s="6"/>
      <c r="CP4" s="2"/>
      <c r="CQ4" s="6"/>
      <c r="CR4" s="2"/>
      <c r="CS4" s="6"/>
      <c r="CT4" s="2"/>
      <c r="CU4" s="6"/>
      <c r="CV4" s="2"/>
      <c r="CW4" s="6"/>
      <c r="CX4" s="2"/>
      <c r="CY4" s="6"/>
      <c r="CZ4" s="2"/>
      <c r="DA4" s="6"/>
      <c r="DB4" s="2"/>
      <c r="DC4" s="6"/>
      <c r="DD4" s="2"/>
      <c r="DE4" s="6"/>
      <c r="DF4" s="2"/>
      <c r="DG4" s="6"/>
      <c r="DH4" s="2"/>
      <c r="DI4" s="6"/>
      <c r="DJ4" s="2"/>
      <c r="DK4" s="6"/>
    </row>
    <row r="5" spans="1:115" x14ac:dyDescent="0.3">
      <c r="A5" s="2" t="s">
        <v>11</v>
      </c>
      <c r="B5" s="3" t="s">
        <v>12</v>
      </c>
      <c r="C5" s="3" t="s">
        <v>156</v>
      </c>
      <c r="D5" s="3" t="s">
        <v>131</v>
      </c>
      <c r="E5" s="6">
        <f>SUMIF('Sunglasses BOM'!$D$1:$D$79,B5,'Sunglasses BOM'!$E$1:$E$79)</f>
        <v>100800</v>
      </c>
      <c r="F5" s="32" cm="1">
        <f t="array" ref="F5">SUMPRODUCT((MOD(COLUMN($M5:$FR5)-COLUMN($M5),2)=0)*($M5:$FR5))</f>
        <v>0</v>
      </c>
      <c r="G5" s="9">
        <f t="shared" ref="G5:G26" si="51">E5-F5</f>
        <v>100800</v>
      </c>
      <c r="H5" s="42">
        <f>'Final Processes daily output'!$F$30</f>
        <v>29160</v>
      </c>
      <c r="I5" s="22">
        <f>_xlfn.XLOOKUP(A5,'Lens Assembly DPR - ABS'!$A$4:$A$26,'Lens Assembly DPR - ABS'!$F$4:$F$26)</f>
        <v>0</v>
      </c>
      <c r="J5" s="23">
        <f t="shared" ref="J5:J26" si="52">I5-F5</f>
        <v>0</v>
      </c>
      <c r="K5" s="54">
        <f t="shared" si="50"/>
        <v>3.4567901234567899</v>
      </c>
      <c r="L5" s="2"/>
      <c r="M5" s="6"/>
      <c r="N5" s="2"/>
      <c r="O5" s="6"/>
      <c r="P5" s="2"/>
      <c r="Q5" s="6"/>
      <c r="R5" s="2"/>
      <c r="S5" s="6"/>
      <c r="T5" s="2"/>
      <c r="U5" s="6"/>
      <c r="V5" s="2"/>
      <c r="W5" s="6"/>
      <c r="X5" s="2"/>
      <c r="Y5" s="6"/>
      <c r="Z5" s="2"/>
      <c r="AA5" s="6"/>
      <c r="AB5" s="2"/>
      <c r="AC5" s="6"/>
      <c r="AD5" s="2"/>
      <c r="AE5" s="6"/>
      <c r="AF5" s="2"/>
      <c r="AG5" s="6"/>
      <c r="AH5" s="2"/>
      <c r="AI5" s="6"/>
      <c r="AJ5" s="2"/>
      <c r="AK5" s="6"/>
      <c r="AL5" s="2"/>
      <c r="AM5" s="6"/>
      <c r="AN5" s="2"/>
      <c r="AO5" s="6"/>
      <c r="AP5" s="2"/>
      <c r="AQ5" s="6"/>
      <c r="AR5" s="2"/>
      <c r="AS5" s="6"/>
      <c r="AT5" s="2"/>
      <c r="AU5" s="6"/>
      <c r="AV5" s="2"/>
      <c r="AW5" s="6"/>
      <c r="AX5" s="2"/>
      <c r="AY5" s="6"/>
      <c r="AZ5" s="2"/>
      <c r="BA5" s="6"/>
      <c r="BB5" s="2"/>
      <c r="BC5" s="6"/>
      <c r="BD5" s="2"/>
      <c r="BE5" s="6"/>
      <c r="BF5" s="2"/>
      <c r="BG5" s="6"/>
      <c r="BH5" s="2"/>
      <c r="BI5" s="6"/>
      <c r="BJ5" s="2"/>
      <c r="BK5" s="6"/>
      <c r="BL5" s="2"/>
      <c r="BM5" s="6"/>
      <c r="BN5" s="2"/>
      <c r="BO5" s="6"/>
      <c r="BP5" s="2"/>
      <c r="BQ5" s="6"/>
      <c r="BR5" s="2"/>
      <c r="BS5" s="6"/>
      <c r="BT5" s="2"/>
      <c r="BU5" s="6"/>
      <c r="BV5" s="2"/>
      <c r="BW5" s="6"/>
      <c r="BX5" s="2"/>
      <c r="BY5" s="6"/>
      <c r="BZ5" s="2"/>
      <c r="CA5" s="6"/>
      <c r="CB5" s="2"/>
      <c r="CC5" s="6"/>
      <c r="CD5" s="2"/>
      <c r="CE5" s="6"/>
      <c r="CF5" s="2"/>
      <c r="CG5" s="6"/>
      <c r="CH5" s="2"/>
      <c r="CI5" s="6"/>
      <c r="CJ5" s="2"/>
      <c r="CK5" s="6"/>
      <c r="CL5" s="2"/>
      <c r="CM5" s="6"/>
      <c r="CN5" s="2"/>
      <c r="CO5" s="6"/>
      <c r="CP5" s="2"/>
      <c r="CQ5" s="6"/>
      <c r="CR5" s="2"/>
      <c r="CS5" s="6"/>
      <c r="CT5" s="2"/>
      <c r="CU5" s="6"/>
      <c r="CV5" s="2"/>
      <c r="CW5" s="6"/>
      <c r="CX5" s="2"/>
      <c r="CY5" s="6"/>
      <c r="CZ5" s="2"/>
      <c r="DA5" s="6"/>
      <c r="DB5" s="2"/>
      <c r="DC5" s="6"/>
      <c r="DD5" s="2"/>
      <c r="DE5" s="6"/>
      <c r="DF5" s="2"/>
      <c r="DG5" s="6"/>
      <c r="DH5" s="2"/>
      <c r="DI5" s="6"/>
      <c r="DJ5" s="2"/>
      <c r="DK5" s="6"/>
    </row>
    <row r="6" spans="1:115" x14ac:dyDescent="0.3">
      <c r="A6" s="2" t="s">
        <v>13</v>
      </c>
      <c r="B6" s="3" t="s">
        <v>14</v>
      </c>
      <c r="C6" s="3" t="s">
        <v>157</v>
      </c>
      <c r="D6" s="3" t="s">
        <v>116</v>
      </c>
      <c r="E6" s="6">
        <f>SUMIF('Sunglasses BOM'!$D$1:$D$79,B6,'Sunglasses BOM'!$E$1:$E$79)</f>
        <v>151200</v>
      </c>
      <c r="F6" s="32" cm="1">
        <f t="array" ref="F6">SUMPRODUCT((MOD(COLUMN($M6:$FR6)-COLUMN($M6),2)=0)*($M6:$FR6))</f>
        <v>0</v>
      </c>
      <c r="G6" s="9">
        <f t="shared" si="51"/>
        <v>151200</v>
      </c>
      <c r="H6" s="42">
        <f>'Final Processes daily output'!$F$30</f>
        <v>29160</v>
      </c>
      <c r="I6" s="22">
        <f>_xlfn.XLOOKUP(A6,'Lens Assembly DPR - ABS'!$A$4:$A$26,'Lens Assembly DPR - ABS'!$F$4:$F$26)</f>
        <v>0</v>
      </c>
      <c r="J6" s="23">
        <f t="shared" si="52"/>
        <v>0</v>
      </c>
      <c r="K6" s="54">
        <f t="shared" si="50"/>
        <v>5.1851851851851851</v>
      </c>
      <c r="L6" s="2"/>
      <c r="M6" s="6"/>
      <c r="N6" s="2"/>
      <c r="O6" s="6"/>
      <c r="P6" s="2"/>
      <c r="Q6" s="6"/>
      <c r="R6" s="2"/>
      <c r="S6" s="6"/>
      <c r="T6" s="2"/>
      <c r="U6" s="6"/>
      <c r="V6" s="2"/>
      <c r="W6" s="6"/>
      <c r="X6" s="2"/>
      <c r="Y6" s="6"/>
      <c r="Z6" s="2"/>
      <c r="AA6" s="6"/>
      <c r="AB6" s="2"/>
      <c r="AC6" s="6"/>
      <c r="AD6" s="2"/>
      <c r="AE6" s="6"/>
      <c r="AF6" s="2"/>
      <c r="AG6" s="6"/>
      <c r="AH6" s="2"/>
      <c r="AI6" s="6"/>
      <c r="AJ6" s="2"/>
      <c r="AK6" s="6"/>
      <c r="AL6" s="2"/>
      <c r="AM6" s="6"/>
      <c r="AN6" s="2"/>
      <c r="AO6" s="6"/>
      <c r="AP6" s="2"/>
      <c r="AQ6" s="6"/>
      <c r="AR6" s="2"/>
      <c r="AS6" s="6"/>
      <c r="AT6" s="2"/>
      <c r="AU6" s="6"/>
      <c r="AV6" s="2"/>
      <c r="AW6" s="6"/>
      <c r="AX6" s="2"/>
      <c r="AY6" s="6"/>
      <c r="AZ6" s="2"/>
      <c r="BA6" s="6"/>
      <c r="BB6" s="2"/>
      <c r="BC6" s="6"/>
      <c r="BD6" s="2"/>
      <c r="BE6" s="6"/>
      <c r="BF6" s="2"/>
      <c r="BG6" s="6"/>
      <c r="BH6" s="2"/>
      <c r="BI6" s="6"/>
      <c r="BJ6" s="2"/>
      <c r="BK6" s="6"/>
      <c r="BL6" s="2"/>
      <c r="BM6" s="6"/>
      <c r="BN6" s="2"/>
      <c r="BO6" s="6"/>
      <c r="BP6" s="2"/>
      <c r="BQ6" s="6"/>
      <c r="BR6" s="2"/>
      <c r="BS6" s="6"/>
      <c r="BT6" s="2"/>
      <c r="BU6" s="6"/>
      <c r="BV6" s="2"/>
      <c r="BW6" s="6"/>
      <c r="BX6" s="2"/>
      <c r="BY6" s="6"/>
      <c r="BZ6" s="2"/>
      <c r="CA6" s="6"/>
      <c r="CB6" s="2"/>
      <c r="CC6" s="6"/>
      <c r="CD6" s="2"/>
      <c r="CE6" s="6"/>
      <c r="CF6" s="2"/>
      <c r="CG6" s="6"/>
      <c r="CH6" s="2"/>
      <c r="CI6" s="6"/>
      <c r="CJ6" s="2"/>
      <c r="CK6" s="6"/>
      <c r="CL6" s="2"/>
      <c r="CM6" s="6"/>
      <c r="CN6" s="2"/>
      <c r="CO6" s="6"/>
      <c r="CP6" s="2"/>
      <c r="CQ6" s="6"/>
      <c r="CR6" s="2"/>
      <c r="CS6" s="6"/>
      <c r="CT6" s="2"/>
      <c r="CU6" s="6"/>
      <c r="CV6" s="2"/>
      <c r="CW6" s="6"/>
      <c r="CX6" s="2"/>
      <c r="CY6" s="6"/>
      <c r="CZ6" s="2"/>
      <c r="DA6" s="6"/>
      <c r="DB6" s="2"/>
      <c r="DC6" s="6"/>
      <c r="DD6" s="2"/>
      <c r="DE6" s="6"/>
      <c r="DF6" s="2"/>
      <c r="DG6" s="6"/>
      <c r="DH6" s="2"/>
      <c r="DI6" s="6"/>
      <c r="DJ6" s="2"/>
      <c r="DK6" s="6"/>
    </row>
    <row r="7" spans="1:115" x14ac:dyDescent="0.3">
      <c r="A7" s="2" t="s">
        <v>15</v>
      </c>
      <c r="B7" s="3" t="s">
        <v>16</v>
      </c>
      <c r="C7" s="3" t="s">
        <v>158</v>
      </c>
      <c r="D7" s="3" t="s">
        <v>132</v>
      </c>
      <c r="E7" s="6">
        <f>SUMIF('Sunglasses BOM'!$D$1:$D$79,B7,'Sunglasses BOM'!$E$1:$E$79)</f>
        <v>100800</v>
      </c>
      <c r="F7" s="32" cm="1">
        <f t="array" ref="F7">SUMPRODUCT((MOD(COLUMN($M7:$FR7)-COLUMN($M7),2)=0)*($M7:$FR7))</f>
        <v>0</v>
      </c>
      <c r="G7" s="9">
        <f t="shared" si="51"/>
        <v>100800</v>
      </c>
      <c r="H7" s="42">
        <f>'Final Processes daily output'!$F$30</f>
        <v>29160</v>
      </c>
      <c r="I7" s="22">
        <f>_xlfn.XLOOKUP(A7,'Lens Assembly DPR - ABS'!$A$4:$A$26,'Lens Assembly DPR - ABS'!$F$4:$F$26)</f>
        <v>0</v>
      </c>
      <c r="J7" s="23">
        <f t="shared" si="52"/>
        <v>0</v>
      </c>
      <c r="K7" s="54">
        <f t="shared" si="50"/>
        <v>3.4567901234567899</v>
      </c>
      <c r="L7" s="2"/>
      <c r="M7" s="6"/>
      <c r="N7" s="2"/>
      <c r="O7" s="6"/>
      <c r="P7" s="2"/>
      <c r="Q7" s="6"/>
      <c r="R7" s="2"/>
      <c r="S7" s="6"/>
      <c r="T7" s="2"/>
      <c r="U7" s="6"/>
      <c r="V7" s="2"/>
      <c r="W7" s="6"/>
      <c r="X7" s="2"/>
      <c r="Y7" s="6"/>
      <c r="Z7" s="2"/>
      <c r="AA7" s="6"/>
      <c r="AB7" s="2"/>
      <c r="AC7" s="6"/>
      <c r="AD7" s="2"/>
      <c r="AE7" s="6"/>
      <c r="AF7" s="2"/>
      <c r="AG7" s="6"/>
      <c r="AH7" s="2"/>
      <c r="AI7" s="6"/>
      <c r="AJ7" s="2"/>
      <c r="AK7" s="6"/>
      <c r="AL7" s="2"/>
      <c r="AM7" s="6"/>
      <c r="AN7" s="2"/>
      <c r="AO7" s="6"/>
      <c r="AP7" s="2"/>
      <c r="AQ7" s="6"/>
      <c r="AR7" s="2"/>
      <c r="AS7" s="6"/>
      <c r="AT7" s="2"/>
      <c r="AU7" s="6"/>
      <c r="AV7" s="2"/>
      <c r="AW7" s="6"/>
      <c r="AX7" s="2"/>
      <c r="AY7" s="6"/>
      <c r="AZ7" s="2"/>
      <c r="BA7" s="6"/>
      <c r="BB7" s="2"/>
      <c r="BC7" s="6"/>
      <c r="BD7" s="2"/>
      <c r="BE7" s="6"/>
      <c r="BF7" s="2"/>
      <c r="BG7" s="6"/>
      <c r="BH7" s="2"/>
      <c r="BI7" s="6"/>
      <c r="BJ7" s="2"/>
      <c r="BK7" s="6"/>
      <c r="BL7" s="2"/>
      <c r="BM7" s="6"/>
      <c r="BN7" s="2"/>
      <c r="BO7" s="6"/>
      <c r="BP7" s="2"/>
      <c r="BQ7" s="6"/>
      <c r="BR7" s="2"/>
      <c r="BS7" s="6"/>
      <c r="BT7" s="2"/>
      <c r="BU7" s="6"/>
      <c r="BV7" s="2"/>
      <c r="BW7" s="6"/>
      <c r="BX7" s="2"/>
      <c r="BY7" s="6"/>
      <c r="BZ7" s="2"/>
      <c r="CA7" s="6"/>
      <c r="CB7" s="2"/>
      <c r="CC7" s="6"/>
      <c r="CD7" s="2"/>
      <c r="CE7" s="6"/>
      <c r="CF7" s="2"/>
      <c r="CG7" s="6"/>
      <c r="CH7" s="2"/>
      <c r="CI7" s="6"/>
      <c r="CJ7" s="2"/>
      <c r="CK7" s="6"/>
      <c r="CL7" s="2"/>
      <c r="CM7" s="6"/>
      <c r="CN7" s="2"/>
      <c r="CO7" s="6"/>
      <c r="CP7" s="2"/>
      <c r="CQ7" s="6"/>
      <c r="CR7" s="2"/>
      <c r="CS7" s="6"/>
      <c r="CT7" s="2"/>
      <c r="CU7" s="6"/>
      <c r="CV7" s="2"/>
      <c r="CW7" s="6"/>
      <c r="CX7" s="2"/>
      <c r="CY7" s="6"/>
      <c r="CZ7" s="2"/>
      <c r="DA7" s="6"/>
      <c r="DB7" s="2"/>
      <c r="DC7" s="6"/>
      <c r="DD7" s="2"/>
      <c r="DE7" s="6"/>
      <c r="DF7" s="2"/>
      <c r="DG7" s="6"/>
      <c r="DH7" s="2"/>
      <c r="DI7" s="6"/>
      <c r="DJ7" s="2"/>
      <c r="DK7" s="6"/>
    </row>
    <row r="8" spans="1:115" x14ac:dyDescent="0.3">
      <c r="A8" s="2" t="s">
        <v>17</v>
      </c>
      <c r="B8" s="3" t="s">
        <v>18</v>
      </c>
      <c r="C8" s="3" t="s">
        <v>159</v>
      </c>
      <c r="D8" s="3" t="s">
        <v>113</v>
      </c>
      <c r="E8" s="6">
        <f>SUMIF('Sunglasses BOM'!$D$1:$D$79,B8,'Sunglasses BOM'!$E$1:$E$79)</f>
        <v>134400</v>
      </c>
      <c r="F8" s="32" cm="1">
        <f t="array" ref="F8">SUMPRODUCT((MOD(COLUMN($M8:$FR8)-COLUMN($M8),2)=0)*($M8:$FR8))</f>
        <v>0</v>
      </c>
      <c r="G8" s="9">
        <f t="shared" si="51"/>
        <v>134400</v>
      </c>
      <c r="H8" s="42">
        <f>'Final Processes daily output'!$F$30</f>
        <v>29160</v>
      </c>
      <c r="I8" s="22">
        <f>_xlfn.XLOOKUP(A8,'Lens Assembly DPR - ABS'!$A$4:$A$26,'Lens Assembly DPR - ABS'!$F$4:$F$26)</f>
        <v>0</v>
      </c>
      <c r="J8" s="23">
        <f t="shared" si="52"/>
        <v>0</v>
      </c>
      <c r="K8" s="54">
        <f t="shared" si="50"/>
        <v>4.6090534979423872</v>
      </c>
      <c r="L8" s="2"/>
      <c r="M8" s="6"/>
      <c r="N8" s="2"/>
      <c r="O8" s="6"/>
      <c r="P8" s="2"/>
      <c r="Q8" s="6"/>
      <c r="R8" s="2"/>
      <c r="S8" s="6"/>
      <c r="T8" s="2"/>
      <c r="U8" s="6"/>
      <c r="V8" s="2"/>
      <c r="W8" s="6"/>
      <c r="X8" s="2"/>
      <c r="Y8" s="6"/>
      <c r="Z8" s="2"/>
      <c r="AA8" s="6"/>
      <c r="AB8" s="2"/>
      <c r="AC8" s="6"/>
      <c r="AD8" s="2"/>
      <c r="AE8" s="6"/>
      <c r="AF8" s="2"/>
      <c r="AG8" s="6"/>
      <c r="AH8" s="2"/>
      <c r="AI8" s="6"/>
      <c r="AJ8" s="2"/>
      <c r="AK8" s="6"/>
      <c r="AL8" s="2"/>
      <c r="AM8" s="6"/>
      <c r="AN8" s="2"/>
      <c r="AO8" s="6"/>
      <c r="AP8" s="2"/>
      <c r="AQ8" s="6"/>
      <c r="AR8" s="2"/>
      <c r="AS8" s="6"/>
      <c r="AT8" s="2"/>
      <c r="AU8" s="6"/>
      <c r="AV8" s="2"/>
      <c r="AW8" s="6"/>
      <c r="AX8" s="2"/>
      <c r="AY8" s="6"/>
      <c r="AZ8" s="2"/>
      <c r="BA8" s="6"/>
      <c r="BB8" s="2"/>
      <c r="BC8" s="6"/>
      <c r="BD8" s="2"/>
      <c r="BE8" s="6"/>
      <c r="BF8" s="2"/>
      <c r="BG8" s="6"/>
      <c r="BH8" s="2"/>
      <c r="BI8" s="6"/>
      <c r="BJ8" s="2"/>
      <c r="BK8" s="6"/>
      <c r="BL8" s="2"/>
      <c r="BM8" s="6"/>
      <c r="BN8" s="2"/>
      <c r="BO8" s="6"/>
      <c r="BP8" s="2"/>
      <c r="BQ8" s="6"/>
      <c r="BR8" s="2"/>
      <c r="BS8" s="6"/>
      <c r="BT8" s="2"/>
      <c r="BU8" s="6"/>
      <c r="BV8" s="2"/>
      <c r="BW8" s="6"/>
      <c r="BX8" s="2"/>
      <c r="BY8" s="6"/>
      <c r="BZ8" s="2"/>
      <c r="CA8" s="6"/>
      <c r="CB8" s="2"/>
      <c r="CC8" s="6"/>
      <c r="CD8" s="2"/>
      <c r="CE8" s="6"/>
      <c r="CF8" s="2"/>
      <c r="CG8" s="6"/>
      <c r="CH8" s="2"/>
      <c r="CI8" s="6"/>
      <c r="CJ8" s="2"/>
      <c r="CK8" s="6"/>
      <c r="CL8" s="2"/>
      <c r="CM8" s="6"/>
      <c r="CN8" s="2"/>
      <c r="CO8" s="6"/>
      <c r="CP8" s="2"/>
      <c r="CQ8" s="6"/>
      <c r="CR8" s="2"/>
      <c r="CS8" s="6"/>
      <c r="CT8" s="2"/>
      <c r="CU8" s="6"/>
      <c r="CV8" s="2"/>
      <c r="CW8" s="6"/>
      <c r="CX8" s="2"/>
      <c r="CY8" s="6"/>
      <c r="CZ8" s="2"/>
      <c r="DA8" s="6"/>
      <c r="DB8" s="2"/>
      <c r="DC8" s="6"/>
      <c r="DD8" s="2"/>
      <c r="DE8" s="6"/>
      <c r="DF8" s="2"/>
      <c r="DG8" s="6"/>
      <c r="DH8" s="2"/>
      <c r="DI8" s="6"/>
      <c r="DJ8" s="2"/>
      <c r="DK8" s="6"/>
    </row>
    <row r="9" spans="1:115" x14ac:dyDescent="0.3">
      <c r="A9" s="2" t="s">
        <v>21</v>
      </c>
      <c r="B9" s="3" t="s">
        <v>22</v>
      </c>
      <c r="C9" s="3" t="s">
        <v>160</v>
      </c>
      <c r="D9" s="3" t="s">
        <v>112</v>
      </c>
      <c r="E9" s="6">
        <f>SUMIF('Sunglasses BOM'!$D$1:$D$79,B9,'Sunglasses BOM'!$E$1:$E$79)</f>
        <v>33600</v>
      </c>
      <c r="F9" s="32" cm="1">
        <f t="array" ref="F9">SUMPRODUCT((MOD(COLUMN($M9:$FR9)-COLUMN($M9),2)=0)*($M9:$FR9))</f>
        <v>0</v>
      </c>
      <c r="G9" s="9">
        <f t="shared" si="51"/>
        <v>33600</v>
      </c>
      <c r="H9" s="42">
        <f>'Final Processes daily output'!$F$30</f>
        <v>29160</v>
      </c>
      <c r="I9" s="22">
        <f>_xlfn.XLOOKUP(A9,'Lens Assembly DPR - ABS'!$A$4:$A$26,'Lens Assembly DPR - ABS'!$F$4:$F$26)</f>
        <v>0</v>
      </c>
      <c r="J9" s="23">
        <f t="shared" si="52"/>
        <v>0</v>
      </c>
      <c r="K9" s="54">
        <f t="shared" si="50"/>
        <v>1.1522633744855968</v>
      </c>
      <c r="L9" s="2"/>
      <c r="M9" s="6"/>
      <c r="N9" s="2"/>
      <c r="O9" s="6"/>
      <c r="P9" s="2"/>
      <c r="Q9" s="6"/>
      <c r="R9" s="2"/>
      <c r="S9" s="6"/>
      <c r="T9" s="2"/>
      <c r="U9" s="6"/>
      <c r="V9" s="2"/>
      <c r="W9" s="6"/>
      <c r="X9" s="2"/>
      <c r="Y9" s="6"/>
      <c r="Z9" s="2"/>
      <c r="AA9" s="6"/>
      <c r="AB9" s="2"/>
      <c r="AC9" s="6"/>
      <c r="AD9" s="2"/>
      <c r="AE9" s="6"/>
      <c r="AF9" s="2"/>
      <c r="AG9" s="6"/>
      <c r="AH9" s="2"/>
      <c r="AI9" s="6"/>
      <c r="AJ9" s="2"/>
      <c r="AK9" s="6"/>
      <c r="AL9" s="2"/>
      <c r="AM9" s="6"/>
      <c r="AN9" s="2"/>
      <c r="AO9" s="6"/>
      <c r="AP9" s="2"/>
      <c r="AQ9" s="6"/>
      <c r="AR9" s="2"/>
      <c r="AS9" s="6"/>
      <c r="AT9" s="2"/>
      <c r="AU9" s="6"/>
      <c r="AV9" s="2"/>
      <c r="AW9" s="6"/>
      <c r="AX9" s="2"/>
      <c r="AY9" s="6"/>
      <c r="AZ9" s="2"/>
      <c r="BA9" s="6"/>
      <c r="BB9" s="2"/>
      <c r="BC9" s="6"/>
      <c r="BD9" s="2"/>
      <c r="BE9" s="6"/>
      <c r="BF9" s="2"/>
      <c r="BG9" s="6"/>
      <c r="BH9" s="2"/>
      <c r="BI9" s="6"/>
      <c r="BJ9" s="2"/>
      <c r="BK9" s="6"/>
      <c r="BL9" s="2"/>
      <c r="BM9" s="6"/>
      <c r="BN9" s="2"/>
      <c r="BO9" s="6"/>
      <c r="BP9" s="2"/>
      <c r="BQ9" s="6"/>
      <c r="BR9" s="2"/>
      <c r="BS9" s="6"/>
      <c r="BT9" s="2"/>
      <c r="BU9" s="6"/>
      <c r="BV9" s="2"/>
      <c r="BW9" s="6"/>
      <c r="BX9" s="2"/>
      <c r="BY9" s="6"/>
      <c r="BZ9" s="2"/>
      <c r="CA9" s="6"/>
      <c r="CB9" s="2"/>
      <c r="CC9" s="6"/>
      <c r="CD9" s="2"/>
      <c r="CE9" s="6"/>
      <c r="CF9" s="2"/>
      <c r="CG9" s="6"/>
      <c r="CH9" s="2"/>
      <c r="CI9" s="6"/>
      <c r="CJ9" s="2"/>
      <c r="CK9" s="6"/>
      <c r="CL9" s="2"/>
      <c r="CM9" s="6"/>
      <c r="CN9" s="2"/>
      <c r="CO9" s="6"/>
      <c r="CP9" s="2"/>
      <c r="CQ9" s="6"/>
      <c r="CR9" s="2"/>
      <c r="CS9" s="6"/>
      <c r="CT9" s="2"/>
      <c r="CU9" s="6"/>
      <c r="CV9" s="2"/>
      <c r="CW9" s="6"/>
      <c r="CX9" s="2"/>
      <c r="CY9" s="6"/>
      <c r="CZ9" s="2"/>
      <c r="DA9" s="6"/>
      <c r="DB9" s="2"/>
      <c r="DC9" s="6"/>
      <c r="DD9" s="2"/>
      <c r="DE9" s="6"/>
      <c r="DF9" s="2"/>
      <c r="DG9" s="6"/>
      <c r="DH9" s="2"/>
      <c r="DI9" s="6"/>
      <c r="DJ9" s="2"/>
      <c r="DK9" s="6"/>
    </row>
    <row r="10" spans="1:115" x14ac:dyDescent="0.3">
      <c r="A10" s="2" t="s">
        <v>23</v>
      </c>
      <c r="B10" s="3" t="s">
        <v>24</v>
      </c>
      <c r="C10" s="3" t="s">
        <v>160</v>
      </c>
      <c r="D10" s="3" t="s">
        <v>112</v>
      </c>
      <c r="E10" s="6">
        <f>SUMIF('Sunglasses BOM'!$D$1:$D$79,B10,'Sunglasses BOM'!$E$1:$E$79)</f>
        <v>16800</v>
      </c>
      <c r="F10" s="32" cm="1">
        <f t="array" ref="F10">SUMPRODUCT((MOD(COLUMN($M10:$FR10)-COLUMN($M10),2)=0)*($M10:$FR10))</f>
        <v>0</v>
      </c>
      <c r="G10" s="9">
        <f t="shared" si="51"/>
        <v>16800</v>
      </c>
      <c r="H10" s="42">
        <f>'Final Processes daily output'!$F$30</f>
        <v>29160</v>
      </c>
      <c r="I10" s="22">
        <f>_xlfn.XLOOKUP(A10,'Lens Assembly DPR - ABS'!$A$4:$A$26,'Lens Assembly DPR - ABS'!$F$4:$F$26)</f>
        <v>0</v>
      </c>
      <c r="J10" s="23">
        <f t="shared" si="52"/>
        <v>0</v>
      </c>
      <c r="K10" s="54">
        <f t="shared" si="50"/>
        <v>0.5761316872427984</v>
      </c>
      <c r="L10" s="2"/>
      <c r="M10" s="6"/>
      <c r="N10" s="2"/>
      <c r="O10" s="6"/>
      <c r="P10" s="2"/>
      <c r="Q10" s="6"/>
      <c r="R10" s="2"/>
      <c r="S10" s="6"/>
      <c r="T10" s="2"/>
      <c r="U10" s="6"/>
      <c r="V10" s="2"/>
      <c r="W10" s="6"/>
      <c r="X10" s="2"/>
      <c r="Y10" s="6"/>
      <c r="Z10" s="2"/>
      <c r="AA10" s="6"/>
      <c r="AB10" s="2"/>
      <c r="AC10" s="6"/>
      <c r="AD10" s="2"/>
      <c r="AE10" s="6"/>
      <c r="AF10" s="2"/>
      <c r="AG10" s="6"/>
      <c r="AH10" s="2"/>
      <c r="AI10" s="6"/>
      <c r="AJ10" s="2"/>
      <c r="AK10" s="6"/>
      <c r="AL10" s="2"/>
      <c r="AM10" s="6"/>
      <c r="AN10" s="2"/>
      <c r="AO10" s="6"/>
      <c r="AP10" s="2"/>
      <c r="AQ10" s="6"/>
      <c r="AR10" s="2"/>
      <c r="AS10" s="6"/>
      <c r="AT10" s="2"/>
      <c r="AU10" s="6"/>
      <c r="AV10" s="2"/>
      <c r="AW10" s="6"/>
      <c r="AX10" s="2"/>
      <c r="AY10" s="6"/>
      <c r="AZ10" s="2"/>
      <c r="BA10" s="6"/>
      <c r="BB10" s="2"/>
      <c r="BC10" s="6"/>
      <c r="BD10" s="2"/>
      <c r="BE10" s="6"/>
      <c r="BF10" s="2"/>
      <c r="BG10" s="6"/>
      <c r="BH10" s="2"/>
      <c r="BI10" s="6"/>
      <c r="BJ10" s="2"/>
      <c r="BK10" s="6"/>
      <c r="BL10" s="2"/>
      <c r="BM10" s="6"/>
      <c r="BN10" s="2"/>
      <c r="BO10" s="6"/>
      <c r="BP10" s="2"/>
      <c r="BQ10" s="6"/>
      <c r="BR10" s="2"/>
      <c r="BS10" s="6"/>
      <c r="BT10" s="2"/>
      <c r="BU10" s="6"/>
      <c r="BV10" s="2"/>
      <c r="BW10" s="6"/>
      <c r="BX10" s="2"/>
      <c r="BY10" s="6"/>
      <c r="BZ10" s="2"/>
      <c r="CA10" s="6"/>
      <c r="CB10" s="2"/>
      <c r="CC10" s="6"/>
      <c r="CD10" s="2"/>
      <c r="CE10" s="6"/>
      <c r="CF10" s="2"/>
      <c r="CG10" s="6"/>
      <c r="CH10" s="2"/>
      <c r="CI10" s="6"/>
      <c r="CJ10" s="2"/>
      <c r="CK10" s="6"/>
      <c r="CL10" s="2"/>
      <c r="CM10" s="6"/>
      <c r="CN10" s="2"/>
      <c r="CO10" s="6"/>
      <c r="CP10" s="2"/>
      <c r="CQ10" s="6"/>
      <c r="CR10" s="2"/>
      <c r="CS10" s="6"/>
      <c r="CT10" s="2"/>
      <c r="CU10" s="6"/>
      <c r="CV10" s="2"/>
      <c r="CW10" s="6"/>
      <c r="CX10" s="2"/>
      <c r="CY10" s="6"/>
      <c r="CZ10" s="2"/>
      <c r="DA10" s="6"/>
      <c r="DB10" s="2"/>
      <c r="DC10" s="6"/>
      <c r="DD10" s="2"/>
      <c r="DE10" s="6"/>
      <c r="DF10" s="2"/>
      <c r="DG10" s="6"/>
      <c r="DH10" s="2"/>
      <c r="DI10" s="6"/>
      <c r="DJ10" s="2"/>
      <c r="DK10" s="6"/>
    </row>
    <row r="11" spans="1:115" ht="15" thickBot="1" x14ac:dyDescent="0.35">
      <c r="A11" s="2" t="s">
        <v>31</v>
      </c>
      <c r="B11" s="3" t="s">
        <v>32</v>
      </c>
      <c r="C11" s="3" t="s">
        <v>163</v>
      </c>
      <c r="D11" s="3" t="s">
        <v>116</v>
      </c>
      <c r="E11" s="6">
        <f>SUMIF('Sunglasses BOM'!$D$1:$D$79,B11,'Sunglasses BOM'!$E$1:$E$79)</f>
        <v>25200</v>
      </c>
      <c r="F11" s="32" cm="1">
        <f t="array" ref="F11">SUMPRODUCT((MOD(COLUMN($M11:$FR11)-COLUMN($M11),2)=0)*($M11:$FR11))</f>
        <v>0</v>
      </c>
      <c r="G11" s="10">
        <f t="shared" si="51"/>
        <v>25200</v>
      </c>
      <c r="H11" s="42">
        <f>'Final Processes daily output'!$F$30</f>
        <v>29160</v>
      </c>
      <c r="I11" s="22">
        <f>_xlfn.XLOOKUP(A11,'Lens Assembly DPR - ABS'!$A$4:$A$26,'Lens Assembly DPR - ABS'!$F$4:$F$26)</f>
        <v>0</v>
      </c>
      <c r="J11" s="23">
        <f t="shared" si="52"/>
        <v>0</v>
      </c>
      <c r="K11" s="55">
        <f t="shared" si="50"/>
        <v>0.86419753086419748</v>
      </c>
      <c r="L11" s="4"/>
      <c r="M11" s="7"/>
      <c r="N11" s="4"/>
      <c r="O11" s="7"/>
      <c r="P11" s="4"/>
      <c r="Q11" s="7"/>
      <c r="R11" s="4"/>
      <c r="S11" s="7"/>
      <c r="T11" s="4"/>
      <c r="U11" s="7"/>
      <c r="V11" s="4"/>
      <c r="W11" s="7"/>
      <c r="X11" s="4"/>
      <c r="Y11" s="7"/>
      <c r="Z11" s="4"/>
      <c r="AA11" s="7"/>
      <c r="AB11" s="4"/>
      <c r="AC11" s="7"/>
      <c r="AD11" s="4"/>
      <c r="AE11" s="7"/>
      <c r="AF11" s="4"/>
      <c r="AG11" s="7"/>
      <c r="AH11" s="4"/>
      <c r="AI11" s="7"/>
      <c r="AJ11" s="4"/>
      <c r="AK11" s="7"/>
      <c r="AL11" s="4"/>
      <c r="AM11" s="7"/>
      <c r="AN11" s="4"/>
      <c r="AO11" s="7"/>
      <c r="AP11" s="4"/>
      <c r="AQ11" s="7"/>
      <c r="AR11" s="4"/>
      <c r="AS11" s="7"/>
      <c r="AT11" s="4"/>
      <c r="AU11" s="7"/>
      <c r="AV11" s="4"/>
      <c r="AW11" s="7"/>
      <c r="AX11" s="4"/>
      <c r="AY11" s="7"/>
      <c r="AZ11" s="4"/>
      <c r="BA11" s="7"/>
      <c r="BB11" s="4"/>
      <c r="BC11" s="7"/>
      <c r="BD11" s="4"/>
      <c r="BE11" s="7"/>
      <c r="BF11" s="4"/>
      <c r="BG11" s="7"/>
      <c r="BH11" s="4"/>
      <c r="BI11" s="7"/>
      <c r="BJ11" s="4"/>
      <c r="BK11" s="7"/>
      <c r="BL11" s="4"/>
      <c r="BM11" s="7"/>
      <c r="BN11" s="4"/>
      <c r="BO11" s="7"/>
      <c r="BP11" s="4"/>
      <c r="BQ11" s="7"/>
      <c r="BR11" s="4"/>
      <c r="BS11" s="7"/>
      <c r="BT11" s="4"/>
      <c r="BU11" s="7"/>
      <c r="BV11" s="4"/>
      <c r="BW11" s="7"/>
      <c r="BX11" s="4"/>
      <c r="BY11" s="7"/>
      <c r="BZ11" s="4"/>
      <c r="CA11" s="7"/>
      <c r="CB11" s="4"/>
      <c r="CC11" s="7"/>
      <c r="CD11" s="4"/>
      <c r="CE11" s="7"/>
      <c r="CF11" s="4"/>
      <c r="CG11" s="7"/>
      <c r="CH11" s="4"/>
      <c r="CI11" s="7"/>
      <c r="CJ11" s="4"/>
      <c r="CK11" s="7"/>
      <c r="CL11" s="4"/>
      <c r="CM11" s="7"/>
      <c r="CN11" s="4"/>
      <c r="CO11" s="7"/>
      <c r="CP11" s="4"/>
      <c r="CQ11" s="7"/>
      <c r="CR11" s="4"/>
      <c r="CS11" s="7"/>
      <c r="CT11" s="4"/>
      <c r="CU11" s="7"/>
      <c r="CV11" s="4"/>
      <c r="CW11" s="7"/>
      <c r="CX11" s="4"/>
      <c r="CY11" s="7"/>
      <c r="CZ11" s="4"/>
      <c r="DA11" s="7"/>
      <c r="DB11" s="4"/>
      <c r="DC11" s="7"/>
      <c r="DD11" s="4"/>
      <c r="DE11" s="7"/>
      <c r="DF11" s="4"/>
      <c r="DG11" s="7"/>
      <c r="DH11" s="4"/>
      <c r="DI11" s="7"/>
      <c r="DJ11" s="4"/>
      <c r="DK11" s="7"/>
    </row>
    <row r="12" spans="1:115" ht="15" thickBot="1" x14ac:dyDescent="0.35">
      <c r="A12" s="2" t="s">
        <v>33</v>
      </c>
      <c r="B12" s="3" t="s">
        <v>34</v>
      </c>
      <c r="C12" s="3" t="s">
        <v>163</v>
      </c>
      <c r="D12" s="3" t="s">
        <v>116</v>
      </c>
      <c r="E12" s="6">
        <f>SUMIF('Sunglasses BOM'!$D$1:$D$79,B12,'Sunglasses BOM'!$E$1:$E$79)</f>
        <v>8400</v>
      </c>
      <c r="F12" s="32" cm="1">
        <f t="array" ref="F12">SUMPRODUCT((MOD(COLUMN($M12:$FR12)-COLUMN($M12),2)=0)*($M12:$FR12))</f>
        <v>0</v>
      </c>
      <c r="G12" s="10">
        <f t="shared" si="51"/>
        <v>8400</v>
      </c>
      <c r="H12" s="42">
        <f>'Final Processes daily output'!$F$30</f>
        <v>29160</v>
      </c>
      <c r="I12" s="22">
        <f>_xlfn.XLOOKUP(A12,'Lens Assembly DPR - ABS'!$A$4:$A$26,'Lens Assembly DPR - ABS'!$F$4:$F$26)</f>
        <v>0</v>
      </c>
      <c r="J12" s="23">
        <f t="shared" si="52"/>
        <v>0</v>
      </c>
      <c r="K12" s="55">
        <f t="shared" si="50"/>
        <v>0.2880658436213992</v>
      </c>
      <c r="L12" s="4"/>
      <c r="M12" s="7"/>
      <c r="N12" s="4"/>
      <c r="O12" s="7"/>
      <c r="P12" s="4"/>
      <c r="Q12" s="7"/>
      <c r="R12" s="4"/>
      <c r="S12" s="7"/>
      <c r="T12" s="4"/>
      <c r="U12" s="7"/>
      <c r="V12" s="4"/>
      <c r="W12" s="7"/>
      <c r="X12" s="4"/>
      <c r="Y12" s="7"/>
      <c r="Z12" s="4"/>
      <c r="AA12" s="7"/>
      <c r="AB12" s="4"/>
      <c r="AC12" s="7"/>
      <c r="AD12" s="4"/>
      <c r="AE12" s="7"/>
      <c r="AF12" s="4"/>
      <c r="AG12" s="7"/>
      <c r="AH12" s="4"/>
      <c r="AI12" s="7"/>
      <c r="AJ12" s="4"/>
      <c r="AK12" s="7"/>
      <c r="AL12" s="4"/>
      <c r="AM12" s="7"/>
      <c r="AN12" s="4"/>
      <c r="AO12" s="7"/>
      <c r="AP12" s="4"/>
      <c r="AQ12" s="7"/>
      <c r="AR12" s="4"/>
      <c r="AS12" s="7"/>
      <c r="AT12" s="4"/>
      <c r="AU12" s="7"/>
      <c r="AV12" s="4"/>
      <c r="AW12" s="7"/>
      <c r="AX12" s="4"/>
      <c r="AY12" s="7"/>
      <c r="AZ12" s="4"/>
      <c r="BA12" s="7"/>
      <c r="BB12" s="4"/>
      <c r="BC12" s="7"/>
      <c r="BD12" s="4"/>
      <c r="BE12" s="7"/>
      <c r="BF12" s="4"/>
      <c r="BG12" s="7"/>
      <c r="BH12" s="4"/>
      <c r="BI12" s="7"/>
      <c r="BJ12" s="4"/>
      <c r="BK12" s="7"/>
      <c r="BL12" s="4"/>
      <c r="BM12" s="7"/>
      <c r="BN12" s="4"/>
      <c r="BO12" s="7"/>
      <c r="BP12" s="4"/>
      <c r="BQ12" s="7"/>
      <c r="BR12" s="4"/>
      <c r="BS12" s="7"/>
      <c r="BT12" s="4"/>
      <c r="BU12" s="7"/>
      <c r="BV12" s="4"/>
      <c r="BW12" s="7"/>
      <c r="BX12" s="4"/>
      <c r="BY12" s="7"/>
      <c r="BZ12" s="4"/>
      <c r="CA12" s="7"/>
      <c r="CB12" s="4"/>
      <c r="CC12" s="7"/>
      <c r="CD12" s="4"/>
      <c r="CE12" s="7"/>
      <c r="CF12" s="4"/>
      <c r="CG12" s="7"/>
      <c r="CH12" s="4"/>
      <c r="CI12" s="7"/>
      <c r="CJ12" s="4"/>
      <c r="CK12" s="7"/>
      <c r="CL12" s="4"/>
      <c r="CM12" s="7"/>
      <c r="CN12" s="4"/>
      <c r="CO12" s="7"/>
      <c r="CP12" s="4"/>
      <c r="CQ12" s="7"/>
      <c r="CR12" s="4"/>
      <c r="CS12" s="7"/>
      <c r="CT12" s="4"/>
      <c r="CU12" s="7"/>
      <c r="CV12" s="4"/>
      <c r="CW12" s="7"/>
      <c r="CX12" s="4"/>
      <c r="CY12" s="7"/>
      <c r="CZ12" s="4"/>
      <c r="DA12" s="7"/>
      <c r="DB12" s="4"/>
      <c r="DC12" s="7"/>
      <c r="DD12" s="4"/>
      <c r="DE12" s="7"/>
      <c r="DF12" s="4"/>
      <c r="DG12" s="7"/>
      <c r="DH12" s="4"/>
      <c r="DI12" s="7"/>
      <c r="DJ12" s="4"/>
      <c r="DK12" s="7"/>
    </row>
    <row r="13" spans="1:115" ht="15" thickBot="1" x14ac:dyDescent="0.35">
      <c r="A13" s="2" t="s">
        <v>37</v>
      </c>
      <c r="B13" s="3" t="s">
        <v>38</v>
      </c>
      <c r="C13" s="3" t="s">
        <v>125</v>
      </c>
      <c r="D13" s="3" t="s">
        <v>125</v>
      </c>
      <c r="E13" s="6">
        <f>SUMIF('Sunglasses BOM'!$D$1:$D$79,B13,'Sunglasses BOM'!$E$1:$E$79)</f>
        <v>42000</v>
      </c>
      <c r="F13" s="32" cm="1">
        <f t="array" ref="F13">SUMPRODUCT((MOD(COLUMN($M13:$FR13)-COLUMN($M13),2)=0)*($M13:$FR13))</f>
        <v>0</v>
      </c>
      <c r="G13" s="10">
        <f t="shared" si="51"/>
        <v>42000</v>
      </c>
      <c r="H13" s="42">
        <f>'Final Processes daily output'!$F$30</f>
        <v>29160</v>
      </c>
      <c r="I13" s="22">
        <f>_xlfn.XLOOKUP(A13,'Lens Assembly DPR - ABS'!$A$4:$A$26,'Lens Assembly DPR - ABS'!$F$4:$F$26)</f>
        <v>0</v>
      </c>
      <c r="J13" s="23">
        <f t="shared" si="52"/>
        <v>0</v>
      </c>
      <c r="K13" s="55">
        <f t="shared" si="50"/>
        <v>1.440329218106996</v>
      </c>
      <c r="L13" s="4"/>
      <c r="M13" s="7"/>
      <c r="N13" s="4"/>
      <c r="O13" s="7"/>
      <c r="P13" s="4"/>
      <c r="Q13" s="7"/>
      <c r="R13" s="4"/>
      <c r="S13" s="7"/>
      <c r="T13" s="4"/>
      <c r="U13" s="7"/>
      <c r="V13" s="4"/>
      <c r="W13" s="7"/>
      <c r="X13" s="4"/>
      <c r="Y13" s="7"/>
      <c r="Z13" s="4"/>
      <c r="AA13" s="7"/>
      <c r="AB13" s="4"/>
      <c r="AC13" s="7"/>
      <c r="AD13" s="4"/>
      <c r="AE13" s="7"/>
      <c r="AF13" s="4"/>
      <c r="AG13" s="7"/>
      <c r="AH13" s="4"/>
      <c r="AI13" s="7"/>
      <c r="AJ13" s="4"/>
      <c r="AK13" s="7"/>
      <c r="AL13" s="4"/>
      <c r="AM13" s="7"/>
      <c r="AN13" s="4"/>
      <c r="AO13" s="7"/>
      <c r="AP13" s="4"/>
      <c r="AQ13" s="7"/>
      <c r="AR13" s="4"/>
      <c r="AS13" s="7"/>
      <c r="AT13" s="4"/>
      <c r="AU13" s="7"/>
      <c r="AV13" s="4"/>
      <c r="AW13" s="7"/>
      <c r="AX13" s="4"/>
      <c r="AY13" s="7"/>
      <c r="AZ13" s="4"/>
      <c r="BA13" s="7"/>
      <c r="BB13" s="4"/>
      <c r="BC13" s="7"/>
      <c r="BD13" s="4"/>
      <c r="BE13" s="7"/>
      <c r="BF13" s="4"/>
      <c r="BG13" s="7"/>
      <c r="BH13" s="4"/>
      <c r="BI13" s="7"/>
      <c r="BJ13" s="4"/>
      <c r="BK13" s="7"/>
      <c r="BL13" s="4"/>
      <c r="BM13" s="7"/>
      <c r="BN13" s="4"/>
      <c r="BO13" s="7"/>
      <c r="BP13" s="4"/>
      <c r="BQ13" s="7"/>
      <c r="BR13" s="4"/>
      <c r="BS13" s="7"/>
      <c r="BT13" s="4"/>
      <c r="BU13" s="7"/>
      <c r="BV13" s="4"/>
      <c r="BW13" s="7"/>
      <c r="BX13" s="4"/>
      <c r="BY13" s="7"/>
      <c r="BZ13" s="4"/>
      <c r="CA13" s="7"/>
      <c r="CB13" s="4"/>
      <c r="CC13" s="7"/>
      <c r="CD13" s="4"/>
      <c r="CE13" s="7"/>
      <c r="CF13" s="4"/>
      <c r="CG13" s="7"/>
      <c r="CH13" s="4"/>
      <c r="CI13" s="7"/>
      <c r="CJ13" s="4"/>
      <c r="CK13" s="7"/>
      <c r="CL13" s="4"/>
      <c r="CM13" s="7"/>
      <c r="CN13" s="4"/>
      <c r="CO13" s="7"/>
      <c r="CP13" s="4"/>
      <c r="CQ13" s="7"/>
      <c r="CR13" s="4"/>
      <c r="CS13" s="7"/>
      <c r="CT13" s="4"/>
      <c r="CU13" s="7"/>
      <c r="CV13" s="4"/>
      <c r="CW13" s="7"/>
      <c r="CX13" s="4"/>
      <c r="CY13" s="7"/>
      <c r="CZ13" s="4"/>
      <c r="DA13" s="7"/>
      <c r="DB13" s="4"/>
      <c r="DC13" s="7"/>
      <c r="DD13" s="4"/>
      <c r="DE13" s="7"/>
      <c r="DF13" s="4"/>
      <c r="DG13" s="7"/>
      <c r="DH13" s="4"/>
      <c r="DI13" s="7"/>
      <c r="DJ13" s="4"/>
      <c r="DK13" s="7"/>
    </row>
    <row r="14" spans="1:115" ht="15" thickBot="1" x14ac:dyDescent="0.35">
      <c r="A14" s="2" t="s">
        <v>39</v>
      </c>
      <c r="B14" s="3" t="s">
        <v>40</v>
      </c>
      <c r="C14" s="3" t="s">
        <v>125</v>
      </c>
      <c r="D14" s="3" t="s">
        <v>125</v>
      </c>
      <c r="E14" s="6">
        <f>SUMIF('Sunglasses BOM'!$D$1:$D$79,B14,'Sunglasses BOM'!$E$1:$E$79)</f>
        <v>25200</v>
      </c>
      <c r="F14" s="32" cm="1">
        <f t="array" ref="F14">SUMPRODUCT((MOD(COLUMN($M14:$FR14)-COLUMN($M14),2)=0)*($M14:$FR14))</f>
        <v>0</v>
      </c>
      <c r="G14" s="10">
        <f t="shared" si="51"/>
        <v>25200</v>
      </c>
      <c r="H14" s="42">
        <f>'Final Processes daily output'!$F$30</f>
        <v>29160</v>
      </c>
      <c r="I14" s="22">
        <f>_xlfn.XLOOKUP(A14,'Lens Assembly DPR - ABS'!$A$4:$A$26,'Lens Assembly DPR - ABS'!$F$4:$F$26)</f>
        <v>0</v>
      </c>
      <c r="J14" s="23">
        <f t="shared" si="52"/>
        <v>0</v>
      </c>
      <c r="K14" s="55">
        <f t="shared" si="50"/>
        <v>0.86419753086419748</v>
      </c>
      <c r="L14" s="4"/>
      <c r="M14" s="7"/>
      <c r="N14" s="4"/>
      <c r="O14" s="7"/>
      <c r="P14" s="4"/>
      <c r="Q14" s="7"/>
      <c r="R14" s="4"/>
      <c r="S14" s="7"/>
      <c r="T14" s="4"/>
      <c r="U14" s="7"/>
      <c r="V14" s="4"/>
      <c r="W14" s="7"/>
      <c r="X14" s="4"/>
      <c r="Y14" s="7"/>
      <c r="Z14" s="4"/>
      <c r="AA14" s="7"/>
      <c r="AB14" s="4"/>
      <c r="AC14" s="7"/>
      <c r="AD14" s="4"/>
      <c r="AE14" s="7"/>
      <c r="AF14" s="4"/>
      <c r="AG14" s="7"/>
      <c r="AH14" s="4"/>
      <c r="AI14" s="7"/>
      <c r="AJ14" s="4"/>
      <c r="AK14" s="7"/>
      <c r="AL14" s="4"/>
      <c r="AM14" s="7"/>
      <c r="AN14" s="4"/>
      <c r="AO14" s="7"/>
      <c r="AP14" s="4"/>
      <c r="AQ14" s="7"/>
      <c r="AR14" s="4"/>
      <c r="AS14" s="7"/>
      <c r="AT14" s="4"/>
      <c r="AU14" s="7"/>
      <c r="AV14" s="4"/>
      <c r="AW14" s="7"/>
      <c r="AX14" s="4"/>
      <c r="AY14" s="7"/>
      <c r="AZ14" s="4"/>
      <c r="BA14" s="7"/>
      <c r="BB14" s="4"/>
      <c r="BC14" s="7"/>
      <c r="BD14" s="4"/>
      <c r="BE14" s="7"/>
      <c r="BF14" s="4"/>
      <c r="BG14" s="7"/>
      <c r="BH14" s="4"/>
      <c r="BI14" s="7"/>
      <c r="BJ14" s="4"/>
      <c r="BK14" s="7"/>
      <c r="BL14" s="4"/>
      <c r="BM14" s="7"/>
      <c r="BN14" s="4"/>
      <c r="BO14" s="7"/>
      <c r="BP14" s="4"/>
      <c r="BQ14" s="7"/>
      <c r="BR14" s="4"/>
      <c r="BS14" s="7"/>
      <c r="BT14" s="4"/>
      <c r="BU14" s="7"/>
      <c r="BV14" s="4"/>
      <c r="BW14" s="7"/>
      <c r="BX14" s="4"/>
      <c r="BY14" s="7"/>
      <c r="BZ14" s="4"/>
      <c r="CA14" s="7"/>
      <c r="CB14" s="4"/>
      <c r="CC14" s="7"/>
      <c r="CD14" s="4"/>
      <c r="CE14" s="7"/>
      <c r="CF14" s="4"/>
      <c r="CG14" s="7"/>
      <c r="CH14" s="4"/>
      <c r="CI14" s="7"/>
      <c r="CJ14" s="4"/>
      <c r="CK14" s="7"/>
      <c r="CL14" s="4"/>
      <c r="CM14" s="7"/>
      <c r="CN14" s="4"/>
      <c r="CO14" s="7"/>
      <c r="CP14" s="4"/>
      <c r="CQ14" s="7"/>
      <c r="CR14" s="4"/>
      <c r="CS14" s="7"/>
      <c r="CT14" s="4"/>
      <c r="CU14" s="7"/>
      <c r="CV14" s="4"/>
      <c r="CW14" s="7"/>
      <c r="CX14" s="4"/>
      <c r="CY14" s="7"/>
      <c r="CZ14" s="4"/>
      <c r="DA14" s="7"/>
      <c r="DB14" s="4"/>
      <c r="DC14" s="7"/>
      <c r="DD14" s="4"/>
      <c r="DE14" s="7"/>
      <c r="DF14" s="4"/>
      <c r="DG14" s="7"/>
      <c r="DH14" s="4"/>
      <c r="DI14" s="7"/>
      <c r="DJ14" s="4"/>
      <c r="DK14" s="7"/>
    </row>
    <row r="15" spans="1:115" ht="15" thickBot="1" x14ac:dyDescent="0.35">
      <c r="A15" s="2" t="s">
        <v>41</v>
      </c>
      <c r="B15" s="3" t="s">
        <v>42</v>
      </c>
      <c r="C15" s="3" t="s">
        <v>125</v>
      </c>
      <c r="D15" s="3" t="s">
        <v>125</v>
      </c>
      <c r="E15" s="6">
        <f>SUMIF('Sunglasses BOM'!$D$1:$D$79,B15,'Sunglasses BOM'!$E$1:$E$79)</f>
        <v>16800</v>
      </c>
      <c r="F15" s="32" cm="1">
        <f t="array" ref="F15">SUMPRODUCT((MOD(COLUMN($M15:$FR15)-COLUMN($M15),2)=0)*($M15:$FR15))</f>
        <v>0</v>
      </c>
      <c r="G15" s="10">
        <f t="shared" si="51"/>
        <v>16800</v>
      </c>
      <c r="H15" s="42">
        <f>'Final Processes daily output'!$F$30</f>
        <v>29160</v>
      </c>
      <c r="I15" s="22">
        <f>_xlfn.XLOOKUP(A15,'Lens Assembly DPR - ABS'!$A$4:$A$26,'Lens Assembly DPR - ABS'!$F$4:$F$26)</f>
        <v>0</v>
      </c>
      <c r="J15" s="23">
        <f t="shared" si="52"/>
        <v>0</v>
      </c>
      <c r="K15" s="55">
        <f t="shared" si="50"/>
        <v>0.5761316872427984</v>
      </c>
      <c r="L15" s="4"/>
      <c r="M15" s="7"/>
      <c r="N15" s="4"/>
      <c r="O15" s="7"/>
      <c r="P15" s="4"/>
      <c r="Q15" s="7"/>
      <c r="R15" s="4"/>
      <c r="S15" s="7"/>
      <c r="T15" s="4"/>
      <c r="U15" s="7"/>
      <c r="V15" s="4"/>
      <c r="W15" s="7"/>
      <c r="X15" s="4"/>
      <c r="Y15" s="7"/>
      <c r="Z15" s="4"/>
      <c r="AA15" s="7"/>
      <c r="AB15" s="4"/>
      <c r="AC15" s="7"/>
      <c r="AD15" s="4"/>
      <c r="AE15" s="7"/>
      <c r="AF15" s="4"/>
      <c r="AG15" s="7"/>
      <c r="AH15" s="4"/>
      <c r="AI15" s="7"/>
      <c r="AJ15" s="4"/>
      <c r="AK15" s="7"/>
      <c r="AL15" s="4"/>
      <c r="AM15" s="7"/>
      <c r="AN15" s="4"/>
      <c r="AO15" s="7"/>
      <c r="AP15" s="4"/>
      <c r="AQ15" s="7"/>
      <c r="AR15" s="4"/>
      <c r="AS15" s="7"/>
      <c r="AT15" s="4"/>
      <c r="AU15" s="7"/>
      <c r="AV15" s="4"/>
      <c r="AW15" s="7"/>
      <c r="AX15" s="4"/>
      <c r="AY15" s="7"/>
      <c r="AZ15" s="4"/>
      <c r="BA15" s="7"/>
      <c r="BB15" s="4"/>
      <c r="BC15" s="7"/>
      <c r="BD15" s="4"/>
      <c r="BE15" s="7"/>
      <c r="BF15" s="4"/>
      <c r="BG15" s="7"/>
      <c r="BH15" s="4"/>
      <c r="BI15" s="7"/>
      <c r="BJ15" s="4"/>
      <c r="BK15" s="7"/>
      <c r="BL15" s="4"/>
      <c r="BM15" s="7"/>
      <c r="BN15" s="4"/>
      <c r="BO15" s="7"/>
      <c r="BP15" s="4"/>
      <c r="BQ15" s="7"/>
      <c r="BR15" s="4"/>
      <c r="BS15" s="7"/>
      <c r="BT15" s="4"/>
      <c r="BU15" s="7"/>
      <c r="BV15" s="4"/>
      <c r="BW15" s="7"/>
      <c r="BX15" s="4"/>
      <c r="BY15" s="7"/>
      <c r="BZ15" s="4"/>
      <c r="CA15" s="7"/>
      <c r="CB15" s="4"/>
      <c r="CC15" s="7"/>
      <c r="CD15" s="4"/>
      <c r="CE15" s="7"/>
      <c r="CF15" s="4"/>
      <c r="CG15" s="7"/>
      <c r="CH15" s="4"/>
      <c r="CI15" s="7"/>
      <c r="CJ15" s="4"/>
      <c r="CK15" s="7"/>
      <c r="CL15" s="4"/>
      <c r="CM15" s="7"/>
      <c r="CN15" s="4"/>
      <c r="CO15" s="7"/>
      <c r="CP15" s="4"/>
      <c r="CQ15" s="7"/>
      <c r="CR15" s="4"/>
      <c r="CS15" s="7"/>
      <c r="CT15" s="4"/>
      <c r="CU15" s="7"/>
      <c r="CV15" s="4"/>
      <c r="CW15" s="7"/>
      <c r="CX15" s="4"/>
      <c r="CY15" s="7"/>
      <c r="CZ15" s="4"/>
      <c r="DA15" s="7"/>
      <c r="DB15" s="4"/>
      <c r="DC15" s="7"/>
      <c r="DD15" s="4"/>
      <c r="DE15" s="7"/>
      <c r="DF15" s="4"/>
      <c r="DG15" s="7"/>
      <c r="DH15" s="4"/>
      <c r="DI15" s="7"/>
      <c r="DJ15" s="4"/>
      <c r="DK15" s="7"/>
    </row>
    <row r="16" spans="1:115" ht="15" thickBot="1" x14ac:dyDescent="0.35">
      <c r="A16" s="2" t="s">
        <v>43</v>
      </c>
      <c r="B16" s="3" t="s">
        <v>44</v>
      </c>
      <c r="C16" s="3" t="s">
        <v>125</v>
      </c>
      <c r="D16" s="3" t="s">
        <v>125</v>
      </c>
      <c r="E16" s="6">
        <f>SUMIF('Sunglasses BOM'!$D$1:$D$79,B16,'Sunglasses BOM'!$E$1:$E$79)</f>
        <v>16800</v>
      </c>
      <c r="F16" s="32" cm="1">
        <f t="array" ref="F16">SUMPRODUCT((MOD(COLUMN($M16:$FR16)-COLUMN($M16),2)=0)*($M16:$FR16))</f>
        <v>0</v>
      </c>
      <c r="G16" s="10">
        <f t="shared" si="51"/>
        <v>16800</v>
      </c>
      <c r="H16" s="42">
        <f>'Final Processes daily output'!$F$30</f>
        <v>29160</v>
      </c>
      <c r="I16" s="22">
        <f>_xlfn.XLOOKUP(A16,'Lens Assembly DPR - ABS'!$A$4:$A$26,'Lens Assembly DPR - ABS'!$F$4:$F$26)</f>
        <v>0</v>
      </c>
      <c r="J16" s="23">
        <f t="shared" si="52"/>
        <v>0</v>
      </c>
      <c r="K16" s="55">
        <f t="shared" si="50"/>
        <v>0.5761316872427984</v>
      </c>
      <c r="L16" s="4"/>
      <c r="M16" s="7"/>
      <c r="N16" s="4"/>
      <c r="O16" s="7"/>
      <c r="P16" s="4"/>
      <c r="Q16" s="7"/>
      <c r="R16" s="4"/>
      <c r="S16" s="7"/>
      <c r="T16" s="4"/>
      <c r="U16" s="7"/>
      <c r="V16" s="4"/>
      <c r="W16" s="7"/>
      <c r="X16" s="4"/>
      <c r="Y16" s="7"/>
      <c r="Z16" s="4"/>
      <c r="AA16" s="7"/>
      <c r="AB16" s="4"/>
      <c r="AC16" s="7"/>
      <c r="AD16" s="4"/>
      <c r="AE16" s="7"/>
      <c r="AF16" s="4"/>
      <c r="AG16" s="7"/>
      <c r="AH16" s="4"/>
      <c r="AI16" s="7"/>
      <c r="AJ16" s="4"/>
      <c r="AK16" s="7"/>
      <c r="AL16" s="4"/>
      <c r="AM16" s="7"/>
      <c r="AN16" s="4"/>
      <c r="AO16" s="7"/>
      <c r="AP16" s="4"/>
      <c r="AQ16" s="7"/>
      <c r="AR16" s="4"/>
      <c r="AS16" s="7"/>
      <c r="AT16" s="4"/>
      <c r="AU16" s="7"/>
      <c r="AV16" s="4"/>
      <c r="AW16" s="7"/>
      <c r="AX16" s="4"/>
      <c r="AY16" s="7"/>
      <c r="AZ16" s="4"/>
      <c r="BA16" s="7"/>
      <c r="BB16" s="4"/>
      <c r="BC16" s="7"/>
      <c r="BD16" s="4"/>
      <c r="BE16" s="7"/>
      <c r="BF16" s="4"/>
      <c r="BG16" s="7"/>
      <c r="BH16" s="4"/>
      <c r="BI16" s="7"/>
      <c r="BJ16" s="4"/>
      <c r="BK16" s="7"/>
      <c r="BL16" s="4"/>
      <c r="BM16" s="7"/>
      <c r="BN16" s="4"/>
      <c r="BO16" s="7"/>
      <c r="BP16" s="4"/>
      <c r="BQ16" s="7"/>
      <c r="BR16" s="4"/>
      <c r="BS16" s="7"/>
      <c r="BT16" s="4"/>
      <c r="BU16" s="7"/>
      <c r="BV16" s="4"/>
      <c r="BW16" s="7"/>
      <c r="BX16" s="4"/>
      <c r="BY16" s="7"/>
      <c r="BZ16" s="4"/>
      <c r="CA16" s="7"/>
      <c r="CB16" s="4"/>
      <c r="CC16" s="7"/>
      <c r="CD16" s="4"/>
      <c r="CE16" s="7"/>
      <c r="CF16" s="4"/>
      <c r="CG16" s="7"/>
      <c r="CH16" s="4"/>
      <c r="CI16" s="7"/>
      <c r="CJ16" s="4"/>
      <c r="CK16" s="7"/>
      <c r="CL16" s="4"/>
      <c r="CM16" s="7"/>
      <c r="CN16" s="4"/>
      <c r="CO16" s="7"/>
      <c r="CP16" s="4"/>
      <c r="CQ16" s="7"/>
      <c r="CR16" s="4"/>
      <c r="CS16" s="7"/>
      <c r="CT16" s="4"/>
      <c r="CU16" s="7"/>
      <c r="CV16" s="4"/>
      <c r="CW16" s="7"/>
      <c r="CX16" s="4"/>
      <c r="CY16" s="7"/>
      <c r="CZ16" s="4"/>
      <c r="DA16" s="7"/>
      <c r="DB16" s="4"/>
      <c r="DC16" s="7"/>
      <c r="DD16" s="4"/>
      <c r="DE16" s="7"/>
      <c r="DF16" s="4"/>
      <c r="DG16" s="7"/>
      <c r="DH16" s="4"/>
      <c r="DI16" s="7"/>
      <c r="DJ16" s="4"/>
      <c r="DK16" s="7"/>
    </row>
    <row r="17" spans="1:115" ht="15" thickBot="1" x14ac:dyDescent="0.35">
      <c r="A17" s="2" t="s">
        <v>45</v>
      </c>
      <c r="B17" s="3" t="s">
        <v>46</v>
      </c>
      <c r="C17" s="3" t="s">
        <v>125</v>
      </c>
      <c r="D17" s="3" t="s">
        <v>125</v>
      </c>
      <c r="E17" s="6">
        <f>SUMIF('Sunglasses BOM'!$D$1:$D$79,B17,'Sunglasses BOM'!$E$1:$E$79)</f>
        <v>16800</v>
      </c>
      <c r="F17" s="32" cm="1">
        <f t="array" ref="F17">SUMPRODUCT((MOD(COLUMN($M17:$FR17)-COLUMN($M17),2)=0)*($M17:$FR17))</f>
        <v>0</v>
      </c>
      <c r="G17" s="10">
        <f t="shared" si="51"/>
        <v>16800</v>
      </c>
      <c r="H17" s="42">
        <f>'Final Processes daily output'!$F$30</f>
        <v>29160</v>
      </c>
      <c r="I17" s="22">
        <f>_xlfn.XLOOKUP(A17,'Lens Assembly DPR - ABS'!$A$4:$A$26,'Lens Assembly DPR - ABS'!$F$4:$F$26)</f>
        <v>0</v>
      </c>
      <c r="J17" s="23">
        <f t="shared" si="52"/>
        <v>0</v>
      </c>
      <c r="K17" s="55">
        <f t="shared" si="50"/>
        <v>0.5761316872427984</v>
      </c>
      <c r="L17" s="4"/>
      <c r="M17" s="7"/>
      <c r="N17" s="4"/>
      <c r="O17" s="7"/>
      <c r="P17" s="4"/>
      <c r="Q17" s="7"/>
      <c r="R17" s="4"/>
      <c r="S17" s="7"/>
      <c r="T17" s="4"/>
      <c r="U17" s="7"/>
      <c r="V17" s="4"/>
      <c r="W17" s="7"/>
      <c r="X17" s="4"/>
      <c r="Y17" s="7"/>
      <c r="Z17" s="4"/>
      <c r="AA17" s="7"/>
      <c r="AB17" s="4"/>
      <c r="AC17" s="7"/>
      <c r="AD17" s="4"/>
      <c r="AE17" s="7"/>
      <c r="AF17" s="4"/>
      <c r="AG17" s="7"/>
      <c r="AH17" s="4"/>
      <c r="AI17" s="7"/>
      <c r="AJ17" s="4"/>
      <c r="AK17" s="7"/>
      <c r="AL17" s="4"/>
      <c r="AM17" s="7"/>
      <c r="AN17" s="4"/>
      <c r="AO17" s="7"/>
      <c r="AP17" s="4"/>
      <c r="AQ17" s="7"/>
      <c r="AR17" s="4"/>
      <c r="AS17" s="7"/>
      <c r="AT17" s="4"/>
      <c r="AU17" s="7"/>
      <c r="AV17" s="4"/>
      <c r="AW17" s="7"/>
      <c r="AX17" s="4"/>
      <c r="AY17" s="7"/>
      <c r="AZ17" s="4"/>
      <c r="BA17" s="7"/>
      <c r="BB17" s="4"/>
      <c r="BC17" s="7"/>
      <c r="BD17" s="4"/>
      <c r="BE17" s="7"/>
      <c r="BF17" s="4"/>
      <c r="BG17" s="7"/>
      <c r="BH17" s="4"/>
      <c r="BI17" s="7"/>
      <c r="BJ17" s="4"/>
      <c r="BK17" s="7"/>
      <c r="BL17" s="4"/>
      <c r="BM17" s="7"/>
      <c r="BN17" s="4"/>
      <c r="BO17" s="7"/>
      <c r="BP17" s="4"/>
      <c r="BQ17" s="7"/>
      <c r="BR17" s="4"/>
      <c r="BS17" s="7"/>
      <c r="BT17" s="4"/>
      <c r="BU17" s="7"/>
      <c r="BV17" s="4"/>
      <c r="BW17" s="7"/>
      <c r="BX17" s="4"/>
      <c r="BY17" s="7"/>
      <c r="BZ17" s="4"/>
      <c r="CA17" s="7"/>
      <c r="CB17" s="4"/>
      <c r="CC17" s="7"/>
      <c r="CD17" s="4"/>
      <c r="CE17" s="7"/>
      <c r="CF17" s="4"/>
      <c r="CG17" s="7"/>
      <c r="CH17" s="4"/>
      <c r="CI17" s="7"/>
      <c r="CJ17" s="4"/>
      <c r="CK17" s="7"/>
      <c r="CL17" s="4"/>
      <c r="CM17" s="7"/>
      <c r="CN17" s="4"/>
      <c r="CO17" s="7"/>
      <c r="CP17" s="4"/>
      <c r="CQ17" s="7"/>
      <c r="CR17" s="4"/>
      <c r="CS17" s="7"/>
      <c r="CT17" s="4"/>
      <c r="CU17" s="7"/>
      <c r="CV17" s="4"/>
      <c r="CW17" s="7"/>
      <c r="CX17" s="4"/>
      <c r="CY17" s="7"/>
      <c r="CZ17" s="4"/>
      <c r="DA17" s="7"/>
      <c r="DB17" s="4"/>
      <c r="DC17" s="7"/>
      <c r="DD17" s="4"/>
      <c r="DE17" s="7"/>
      <c r="DF17" s="4"/>
      <c r="DG17" s="7"/>
      <c r="DH17" s="4"/>
      <c r="DI17" s="7"/>
      <c r="DJ17" s="35"/>
      <c r="DK17" s="36"/>
    </row>
    <row r="18" spans="1:115" x14ac:dyDescent="0.3">
      <c r="A18" s="2" t="s">
        <v>25</v>
      </c>
      <c r="B18" s="3" t="s">
        <v>26</v>
      </c>
      <c r="C18" s="3" t="s">
        <v>161</v>
      </c>
      <c r="D18" s="3" t="s">
        <v>114</v>
      </c>
      <c r="E18" s="9">
        <f>SUMIF('Sunglasses BOM'!$D$1:$D$79,B18,'Sunglasses BOM'!$E$1:$E$79)</f>
        <v>25200</v>
      </c>
      <c r="F18" s="2" cm="1">
        <f t="array" ref="F18">SUMPRODUCT((MOD(COLUMN($M18:$FR18)-COLUMN($M18),2)=0)*($M18:$FR18))</f>
        <v>0</v>
      </c>
      <c r="G18" s="9">
        <f t="shared" si="51"/>
        <v>25200</v>
      </c>
      <c r="H18" s="42">
        <f>'Final Processes daily output'!$F$30</f>
        <v>29160</v>
      </c>
      <c r="I18" s="22">
        <f>_xlfn.XLOOKUP(A18,'Lens Assembly DPR - ABS'!$A$4:$A$26,'Lens Assembly DPR - ABS'!$F$4:$F$26)</f>
        <v>0</v>
      </c>
      <c r="J18" s="23">
        <f t="shared" si="52"/>
        <v>0</v>
      </c>
      <c r="K18" s="23">
        <f t="shared" ref="K18:K26" si="53">G18/H18</f>
        <v>0.86419753086419748</v>
      </c>
      <c r="L18" s="32"/>
      <c r="M18" s="6"/>
      <c r="N18" s="2"/>
      <c r="O18" s="6"/>
      <c r="P18" s="2"/>
      <c r="Q18" s="6"/>
      <c r="R18" s="2"/>
      <c r="S18" s="6"/>
      <c r="T18" s="2"/>
      <c r="U18" s="6"/>
      <c r="V18" s="2"/>
      <c r="W18" s="6"/>
      <c r="X18" s="2"/>
      <c r="Y18" s="6"/>
      <c r="Z18" s="2"/>
      <c r="AA18" s="6"/>
      <c r="AB18" s="2"/>
      <c r="AC18" s="6"/>
      <c r="AD18" s="2"/>
      <c r="AE18" s="6"/>
      <c r="AF18" s="2"/>
      <c r="AG18" s="6"/>
      <c r="AH18" s="2"/>
      <c r="AI18" s="6"/>
      <c r="AJ18" s="2"/>
      <c r="AK18" s="6"/>
      <c r="AL18" s="2"/>
      <c r="AM18" s="6"/>
      <c r="AN18" s="2"/>
      <c r="AO18" s="6"/>
      <c r="AP18" s="2"/>
      <c r="AQ18" s="6"/>
      <c r="AR18" s="2"/>
      <c r="AS18" s="6"/>
      <c r="AT18" s="2"/>
      <c r="AU18" s="6"/>
      <c r="AV18" s="2"/>
      <c r="AW18" s="6"/>
      <c r="AX18" s="2"/>
      <c r="AY18" s="6"/>
      <c r="AZ18" s="2"/>
      <c r="BA18" s="6"/>
      <c r="BB18" s="2"/>
      <c r="BC18" s="6"/>
      <c r="BD18" s="2"/>
      <c r="BE18" s="6"/>
      <c r="BF18" s="2"/>
      <c r="BG18" s="6"/>
      <c r="BH18" s="2"/>
      <c r="BI18" s="6"/>
      <c r="BJ18" s="2"/>
      <c r="BK18" s="6"/>
      <c r="BL18" s="2"/>
      <c r="BM18" s="6"/>
      <c r="BN18" s="2"/>
      <c r="BO18" s="6"/>
      <c r="BP18" s="2"/>
      <c r="BQ18" s="6"/>
      <c r="BR18" s="2"/>
      <c r="BS18" s="6"/>
      <c r="BT18" s="2"/>
      <c r="BU18" s="6"/>
      <c r="BV18" s="2"/>
      <c r="BW18" s="6"/>
      <c r="BX18" s="2"/>
      <c r="BY18" s="6"/>
      <c r="BZ18" s="2"/>
      <c r="CA18" s="6"/>
      <c r="CB18" s="2"/>
      <c r="CC18" s="6"/>
      <c r="CD18" s="2"/>
      <c r="CE18" s="6"/>
      <c r="CF18" s="2"/>
      <c r="CG18" s="6"/>
      <c r="CH18" s="2"/>
      <c r="CI18" s="6"/>
      <c r="CJ18" s="2"/>
      <c r="CK18" s="6"/>
      <c r="CL18" s="2"/>
      <c r="CM18" s="6"/>
      <c r="CN18" s="2"/>
      <c r="CO18" s="6"/>
      <c r="CP18" s="2"/>
      <c r="CQ18" s="6"/>
      <c r="CR18" s="2"/>
      <c r="CS18" s="6"/>
      <c r="CT18" s="2"/>
      <c r="CU18" s="6"/>
      <c r="CV18" s="2"/>
      <c r="CW18" s="6"/>
      <c r="CX18" s="2"/>
      <c r="CY18" s="6"/>
      <c r="CZ18" s="2"/>
      <c r="DA18" s="6"/>
      <c r="DB18" s="2"/>
      <c r="DC18" s="6"/>
      <c r="DD18" s="2"/>
      <c r="DE18" s="6"/>
      <c r="DF18" s="2"/>
      <c r="DG18" s="6"/>
      <c r="DH18" s="2"/>
      <c r="DI18" s="9"/>
      <c r="DJ18" s="33"/>
      <c r="DK18" s="34"/>
    </row>
    <row r="19" spans="1:115" ht="15" thickBot="1" x14ac:dyDescent="0.35">
      <c r="A19" s="2" t="s">
        <v>27</v>
      </c>
      <c r="B19" s="3" t="s">
        <v>28</v>
      </c>
      <c r="C19" s="3" t="s">
        <v>162</v>
      </c>
      <c r="D19" s="3" t="s">
        <v>115</v>
      </c>
      <c r="E19" s="9">
        <f>SUMIF('Sunglasses BOM'!$D$1:$D$79,B19,'Sunglasses BOM'!$E$1:$E$79)</f>
        <v>16800</v>
      </c>
      <c r="F19" s="2" cm="1">
        <f t="array" ref="F19">SUMPRODUCT((MOD(COLUMN($M19:$FR19)-COLUMN($M19),2)=0)*($M19:$FR19))</f>
        <v>0</v>
      </c>
      <c r="G19" s="9">
        <f t="shared" si="51"/>
        <v>16800</v>
      </c>
      <c r="H19" s="42">
        <f>'Final Processes daily output'!$F$30</f>
        <v>29160</v>
      </c>
      <c r="I19" s="22">
        <f>_xlfn.XLOOKUP(A19,'Lens Assembly DPR - ABS'!$A$4:$A$26,'Lens Assembly DPR - ABS'!$F$4:$F$26)</f>
        <v>0</v>
      </c>
      <c r="J19" s="23">
        <f t="shared" si="52"/>
        <v>0</v>
      </c>
      <c r="K19" s="23">
        <f t="shared" si="53"/>
        <v>0.5761316872427984</v>
      </c>
      <c r="L19" s="56"/>
      <c r="M19" s="7"/>
      <c r="N19" s="4"/>
      <c r="O19" s="7"/>
      <c r="P19" s="4"/>
      <c r="Q19" s="7"/>
      <c r="R19" s="4"/>
      <c r="S19" s="7"/>
      <c r="T19" s="4"/>
      <c r="U19" s="7"/>
      <c r="V19" s="4"/>
      <c r="W19" s="7"/>
      <c r="X19" s="4"/>
      <c r="Y19" s="7"/>
      <c r="Z19" s="4"/>
      <c r="AA19" s="7"/>
      <c r="AB19" s="4"/>
      <c r="AC19" s="7"/>
      <c r="AD19" s="4"/>
      <c r="AE19" s="7"/>
      <c r="AF19" s="4"/>
      <c r="AG19" s="7"/>
      <c r="AH19" s="4"/>
      <c r="AI19" s="7"/>
      <c r="AJ19" s="4"/>
      <c r="AK19" s="7"/>
      <c r="AL19" s="4"/>
      <c r="AM19" s="7"/>
      <c r="AN19" s="4"/>
      <c r="AO19" s="7"/>
      <c r="AP19" s="4"/>
      <c r="AQ19" s="7"/>
      <c r="AR19" s="4"/>
      <c r="AS19" s="7"/>
      <c r="AT19" s="4"/>
      <c r="AU19" s="7"/>
      <c r="AV19" s="4"/>
      <c r="AW19" s="7"/>
      <c r="AX19" s="4"/>
      <c r="AY19" s="7"/>
      <c r="AZ19" s="4"/>
      <c r="BA19" s="7"/>
      <c r="BB19" s="4"/>
      <c r="BC19" s="7"/>
      <c r="BD19" s="4"/>
      <c r="BE19" s="7"/>
      <c r="BF19" s="4"/>
      <c r="BG19" s="7"/>
      <c r="BH19" s="4"/>
      <c r="BI19" s="7"/>
      <c r="BJ19" s="4"/>
      <c r="BK19" s="7"/>
      <c r="BL19" s="4"/>
      <c r="BM19" s="7"/>
      <c r="BN19" s="4"/>
      <c r="BO19" s="7"/>
      <c r="BP19" s="4"/>
      <c r="BQ19" s="7"/>
      <c r="BR19" s="4"/>
      <c r="BS19" s="7"/>
      <c r="BT19" s="4"/>
      <c r="BU19" s="7"/>
      <c r="BV19" s="4"/>
      <c r="BW19" s="7"/>
      <c r="BX19" s="4"/>
      <c r="BY19" s="7"/>
      <c r="BZ19" s="4"/>
      <c r="CA19" s="7"/>
      <c r="CB19" s="4"/>
      <c r="CC19" s="7"/>
      <c r="CD19" s="4"/>
      <c r="CE19" s="7"/>
      <c r="CF19" s="4"/>
      <c r="CG19" s="7"/>
      <c r="CH19" s="4"/>
      <c r="CI19" s="7"/>
      <c r="CJ19" s="4"/>
      <c r="CK19" s="7"/>
      <c r="CL19" s="4"/>
      <c r="CM19" s="7"/>
      <c r="CN19" s="4"/>
      <c r="CO19" s="7"/>
      <c r="CP19" s="4"/>
      <c r="CQ19" s="7"/>
      <c r="CR19" s="4"/>
      <c r="CS19" s="7"/>
      <c r="CT19" s="4"/>
      <c r="CU19" s="7"/>
      <c r="CV19" s="4"/>
      <c r="CW19" s="7"/>
      <c r="CX19" s="4"/>
      <c r="CY19" s="7"/>
      <c r="CZ19" s="4"/>
      <c r="DA19" s="7"/>
      <c r="DB19" s="4"/>
      <c r="DC19" s="7"/>
      <c r="DD19" s="4"/>
      <c r="DE19" s="7"/>
      <c r="DF19" s="4"/>
      <c r="DG19" s="7"/>
      <c r="DH19" s="4"/>
      <c r="DI19" s="10"/>
      <c r="DJ19" s="2"/>
      <c r="DK19" s="6"/>
    </row>
    <row r="20" spans="1:115" ht="15" thickBot="1" x14ac:dyDescent="0.35">
      <c r="A20" s="2" t="s">
        <v>29</v>
      </c>
      <c r="B20" s="3" t="s">
        <v>30</v>
      </c>
      <c r="C20" s="3" t="s">
        <v>162</v>
      </c>
      <c r="D20" s="3" t="s">
        <v>115</v>
      </c>
      <c r="E20" s="9">
        <f>SUMIF('Sunglasses BOM'!$D$1:$D$79,B20,'Sunglasses BOM'!$E$1:$E$79)</f>
        <v>8400</v>
      </c>
      <c r="F20" s="2" cm="1">
        <f t="array" ref="F20">SUMPRODUCT((MOD(COLUMN($M20:$FR20)-COLUMN($M20),2)=0)*($M20:$FR20))</f>
        <v>0</v>
      </c>
      <c r="G20" s="9">
        <f t="shared" si="51"/>
        <v>8400</v>
      </c>
      <c r="H20" s="42">
        <f>'Final Processes daily output'!$F$30</f>
        <v>29160</v>
      </c>
      <c r="I20" s="22">
        <f>_xlfn.XLOOKUP(A20,'Lens Assembly DPR - ABS'!$A$4:$A$26,'Lens Assembly DPR - ABS'!$F$4:$F$26)</f>
        <v>0</v>
      </c>
      <c r="J20" s="23">
        <f t="shared" si="52"/>
        <v>0</v>
      </c>
      <c r="K20" s="23">
        <f t="shared" si="53"/>
        <v>0.2880658436213992</v>
      </c>
      <c r="L20" s="56"/>
      <c r="M20" s="7"/>
      <c r="N20" s="4"/>
      <c r="O20" s="7"/>
      <c r="P20" s="4"/>
      <c r="Q20" s="7"/>
      <c r="R20" s="4"/>
      <c r="S20" s="7"/>
      <c r="T20" s="4"/>
      <c r="U20" s="7"/>
      <c r="V20" s="4"/>
      <c r="W20" s="7"/>
      <c r="X20" s="4"/>
      <c r="Y20" s="7"/>
      <c r="Z20" s="4"/>
      <c r="AA20" s="7"/>
      <c r="AB20" s="4"/>
      <c r="AC20" s="7"/>
      <c r="AD20" s="4"/>
      <c r="AE20" s="7"/>
      <c r="AF20" s="4"/>
      <c r="AG20" s="7"/>
      <c r="AH20" s="4"/>
      <c r="AI20" s="7"/>
      <c r="AJ20" s="4"/>
      <c r="AK20" s="7"/>
      <c r="AL20" s="4"/>
      <c r="AM20" s="7"/>
      <c r="AN20" s="4"/>
      <c r="AO20" s="7"/>
      <c r="AP20" s="4"/>
      <c r="AQ20" s="7"/>
      <c r="AR20" s="4"/>
      <c r="AS20" s="7"/>
      <c r="AT20" s="4"/>
      <c r="AU20" s="7"/>
      <c r="AV20" s="4"/>
      <c r="AW20" s="7"/>
      <c r="AX20" s="4"/>
      <c r="AY20" s="7"/>
      <c r="AZ20" s="4"/>
      <c r="BA20" s="7"/>
      <c r="BB20" s="4"/>
      <c r="BC20" s="7"/>
      <c r="BD20" s="4"/>
      <c r="BE20" s="7"/>
      <c r="BF20" s="4"/>
      <c r="BG20" s="7"/>
      <c r="BH20" s="4"/>
      <c r="BI20" s="7"/>
      <c r="BJ20" s="4"/>
      <c r="BK20" s="7"/>
      <c r="BL20" s="4"/>
      <c r="BM20" s="7"/>
      <c r="BN20" s="4"/>
      <c r="BO20" s="7"/>
      <c r="BP20" s="4"/>
      <c r="BQ20" s="7"/>
      <c r="BR20" s="4"/>
      <c r="BS20" s="7"/>
      <c r="BT20" s="4"/>
      <c r="BU20" s="7"/>
      <c r="BV20" s="4"/>
      <c r="BW20" s="7"/>
      <c r="BX20" s="4"/>
      <c r="BY20" s="7"/>
      <c r="BZ20" s="4"/>
      <c r="CA20" s="7"/>
      <c r="CB20" s="4"/>
      <c r="CC20" s="7"/>
      <c r="CD20" s="4"/>
      <c r="CE20" s="7"/>
      <c r="CF20" s="4"/>
      <c r="CG20" s="7"/>
      <c r="CH20" s="4"/>
      <c r="CI20" s="7"/>
      <c r="CJ20" s="4"/>
      <c r="CK20" s="7"/>
      <c r="CL20" s="4"/>
      <c r="CM20" s="7"/>
      <c r="CN20" s="4"/>
      <c r="CO20" s="7"/>
      <c r="CP20" s="4"/>
      <c r="CQ20" s="7"/>
      <c r="CR20" s="4"/>
      <c r="CS20" s="7"/>
      <c r="CT20" s="4"/>
      <c r="CU20" s="7"/>
      <c r="CV20" s="4"/>
      <c r="CW20" s="7"/>
      <c r="CX20" s="4"/>
      <c r="CY20" s="7"/>
      <c r="CZ20" s="4"/>
      <c r="DA20" s="7"/>
      <c r="DB20" s="4"/>
      <c r="DC20" s="7"/>
      <c r="DD20" s="4"/>
      <c r="DE20" s="7"/>
      <c r="DF20" s="4"/>
      <c r="DG20" s="7"/>
      <c r="DH20" s="4"/>
      <c r="DI20" s="10"/>
      <c r="DJ20" s="2"/>
      <c r="DK20" s="6"/>
    </row>
    <row r="21" spans="1:115" ht="15" thickBot="1" x14ac:dyDescent="0.35">
      <c r="A21" s="2" t="s">
        <v>35</v>
      </c>
      <c r="B21" s="3" t="s">
        <v>36</v>
      </c>
      <c r="C21" s="3" t="s">
        <v>164</v>
      </c>
      <c r="D21" s="3" t="s">
        <v>117</v>
      </c>
      <c r="E21" s="9">
        <f>SUMIF('Sunglasses BOM'!$D$1:$D$79,B21,'Sunglasses BOM'!$E$1:$E$79)</f>
        <v>8400</v>
      </c>
      <c r="F21" s="2" cm="1">
        <f t="array" ref="F21">SUMPRODUCT((MOD(COLUMN($M21:$FR21)-COLUMN($M21),2)=0)*($M21:$FR21))</f>
        <v>0</v>
      </c>
      <c r="G21" s="9">
        <f t="shared" si="51"/>
        <v>8400</v>
      </c>
      <c r="H21" s="42">
        <f>'Final Processes daily output'!$F$30</f>
        <v>29160</v>
      </c>
      <c r="I21" s="22">
        <f>_xlfn.XLOOKUP(A21,'Lens Assembly DPR - ABS'!$A$4:$A$26,'Lens Assembly DPR - ABS'!$F$4:$F$26)</f>
        <v>0</v>
      </c>
      <c r="J21" s="23">
        <f t="shared" si="52"/>
        <v>0</v>
      </c>
      <c r="K21" s="23">
        <f t="shared" si="53"/>
        <v>0.2880658436213992</v>
      </c>
      <c r="L21" s="56"/>
      <c r="M21" s="7"/>
      <c r="N21" s="4"/>
      <c r="O21" s="7"/>
      <c r="P21" s="4"/>
      <c r="Q21" s="7"/>
      <c r="R21" s="4"/>
      <c r="S21" s="7"/>
      <c r="T21" s="4"/>
      <c r="U21" s="7"/>
      <c r="V21" s="4"/>
      <c r="W21" s="7"/>
      <c r="X21" s="4"/>
      <c r="Y21" s="7"/>
      <c r="Z21" s="4"/>
      <c r="AA21" s="7"/>
      <c r="AB21" s="4"/>
      <c r="AC21" s="7"/>
      <c r="AD21" s="4"/>
      <c r="AE21" s="7"/>
      <c r="AF21" s="4"/>
      <c r="AG21" s="7"/>
      <c r="AH21" s="4"/>
      <c r="AI21" s="7"/>
      <c r="AJ21" s="4"/>
      <c r="AK21" s="7"/>
      <c r="AL21" s="4"/>
      <c r="AM21" s="7"/>
      <c r="AN21" s="4"/>
      <c r="AO21" s="7"/>
      <c r="AP21" s="4"/>
      <c r="AQ21" s="7"/>
      <c r="AR21" s="4"/>
      <c r="AS21" s="7"/>
      <c r="AT21" s="4"/>
      <c r="AU21" s="7"/>
      <c r="AV21" s="4"/>
      <c r="AW21" s="7"/>
      <c r="AX21" s="4"/>
      <c r="AY21" s="7"/>
      <c r="AZ21" s="4"/>
      <c r="BA21" s="7"/>
      <c r="BB21" s="4"/>
      <c r="BC21" s="7"/>
      <c r="BD21" s="4"/>
      <c r="BE21" s="7"/>
      <c r="BF21" s="4"/>
      <c r="BG21" s="7"/>
      <c r="BH21" s="4"/>
      <c r="BI21" s="7"/>
      <c r="BJ21" s="4"/>
      <c r="BK21" s="7"/>
      <c r="BL21" s="4"/>
      <c r="BM21" s="7"/>
      <c r="BN21" s="4"/>
      <c r="BO21" s="7"/>
      <c r="BP21" s="4"/>
      <c r="BQ21" s="7"/>
      <c r="BR21" s="4"/>
      <c r="BS21" s="7"/>
      <c r="BT21" s="4"/>
      <c r="BU21" s="7"/>
      <c r="BV21" s="4"/>
      <c r="BW21" s="7"/>
      <c r="BX21" s="4"/>
      <c r="BY21" s="7"/>
      <c r="BZ21" s="4"/>
      <c r="CA21" s="7"/>
      <c r="CB21" s="4"/>
      <c r="CC21" s="7"/>
      <c r="CD21" s="4"/>
      <c r="CE21" s="7"/>
      <c r="CF21" s="4"/>
      <c r="CG21" s="7"/>
      <c r="CH21" s="4"/>
      <c r="CI21" s="7"/>
      <c r="CJ21" s="4"/>
      <c r="CK21" s="7"/>
      <c r="CL21" s="4"/>
      <c r="CM21" s="7"/>
      <c r="CN21" s="4"/>
      <c r="CO21" s="7"/>
      <c r="CP21" s="4"/>
      <c r="CQ21" s="7"/>
      <c r="CR21" s="4"/>
      <c r="CS21" s="7"/>
      <c r="CT21" s="4"/>
      <c r="CU21" s="7"/>
      <c r="CV21" s="4"/>
      <c r="CW21" s="7"/>
      <c r="CX21" s="4"/>
      <c r="CY21" s="7"/>
      <c r="CZ21" s="4"/>
      <c r="DA21" s="7"/>
      <c r="DB21" s="4"/>
      <c r="DC21" s="7"/>
      <c r="DD21" s="4"/>
      <c r="DE21" s="7"/>
      <c r="DF21" s="4"/>
      <c r="DG21" s="7"/>
      <c r="DH21" s="4"/>
      <c r="DI21" s="10"/>
      <c r="DJ21" s="2"/>
      <c r="DK21" s="6"/>
    </row>
    <row r="22" spans="1:115" ht="15" thickBot="1" x14ac:dyDescent="0.35">
      <c r="A22" s="2" t="s">
        <v>47</v>
      </c>
      <c r="B22" s="3" t="s">
        <v>48</v>
      </c>
      <c r="C22" s="3" t="s">
        <v>165</v>
      </c>
      <c r="D22" s="3" t="s">
        <v>127</v>
      </c>
      <c r="E22" s="9">
        <f>SUMIF('Sunglasses BOM'!$D$1:$D$79,B22,'Sunglasses BOM'!$E$1:$E$79)</f>
        <v>16800</v>
      </c>
      <c r="F22" s="2" cm="1">
        <f t="array" ref="F22">SUMPRODUCT((MOD(COLUMN($M22:$FR22)-COLUMN($M22),2)=0)*($M22:$FR22))</f>
        <v>0</v>
      </c>
      <c r="G22" s="9">
        <f t="shared" si="51"/>
        <v>16800</v>
      </c>
      <c r="H22" s="42">
        <f>'Final Processes daily output'!$F$30</f>
        <v>29160</v>
      </c>
      <c r="I22" s="22">
        <f>_xlfn.XLOOKUP(A22,'Lens Assembly DPR - ABS'!$A$4:$A$26,'Lens Assembly DPR - ABS'!$F$4:$F$26)</f>
        <v>0</v>
      </c>
      <c r="J22" s="23">
        <f t="shared" si="52"/>
        <v>0</v>
      </c>
      <c r="K22" s="23">
        <f t="shared" si="53"/>
        <v>0.5761316872427984</v>
      </c>
      <c r="L22" s="56"/>
      <c r="M22" s="7"/>
      <c r="N22" s="4"/>
      <c r="O22" s="7"/>
      <c r="P22" s="4"/>
      <c r="Q22" s="7"/>
      <c r="R22" s="4"/>
      <c r="S22" s="7"/>
      <c r="T22" s="4"/>
      <c r="U22" s="7"/>
      <c r="V22" s="4"/>
      <c r="W22" s="7"/>
      <c r="X22" s="4"/>
      <c r="Y22" s="7"/>
      <c r="Z22" s="4"/>
      <c r="AA22" s="7"/>
      <c r="AB22" s="4"/>
      <c r="AC22" s="7"/>
      <c r="AD22" s="4"/>
      <c r="AE22" s="7"/>
      <c r="AF22" s="4"/>
      <c r="AG22" s="7"/>
      <c r="AH22" s="4"/>
      <c r="AI22" s="7"/>
      <c r="AJ22" s="4"/>
      <c r="AK22" s="7"/>
      <c r="AL22" s="4"/>
      <c r="AM22" s="7"/>
      <c r="AN22" s="4"/>
      <c r="AO22" s="7"/>
      <c r="AP22" s="4"/>
      <c r="AQ22" s="7"/>
      <c r="AR22" s="4"/>
      <c r="AS22" s="7"/>
      <c r="AT22" s="4"/>
      <c r="AU22" s="7"/>
      <c r="AV22" s="4"/>
      <c r="AW22" s="7"/>
      <c r="AX22" s="4"/>
      <c r="AY22" s="7"/>
      <c r="AZ22" s="4"/>
      <c r="BA22" s="7"/>
      <c r="BB22" s="4"/>
      <c r="BC22" s="7"/>
      <c r="BD22" s="4"/>
      <c r="BE22" s="7"/>
      <c r="BF22" s="4"/>
      <c r="BG22" s="7"/>
      <c r="BH22" s="4"/>
      <c r="BI22" s="7"/>
      <c r="BJ22" s="4"/>
      <c r="BK22" s="7"/>
      <c r="BL22" s="4"/>
      <c r="BM22" s="7"/>
      <c r="BN22" s="4"/>
      <c r="BO22" s="7"/>
      <c r="BP22" s="4"/>
      <c r="BQ22" s="7"/>
      <c r="BR22" s="4"/>
      <c r="BS22" s="7"/>
      <c r="BT22" s="4"/>
      <c r="BU22" s="7"/>
      <c r="BV22" s="4"/>
      <c r="BW22" s="7"/>
      <c r="BX22" s="4"/>
      <c r="BY22" s="7"/>
      <c r="BZ22" s="4"/>
      <c r="CA22" s="7"/>
      <c r="CB22" s="4"/>
      <c r="CC22" s="7"/>
      <c r="CD22" s="4"/>
      <c r="CE22" s="7"/>
      <c r="CF22" s="4"/>
      <c r="CG22" s="7"/>
      <c r="CH22" s="4"/>
      <c r="CI22" s="7"/>
      <c r="CJ22" s="4"/>
      <c r="CK22" s="7"/>
      <c r="CL22" s="4"/>
      <c r="CM22" s="7"/>
      <c r="CN22" s="4"/>
      <c r="CO22" s="7"/>
      <c r="CP22" s="4"/>
      <c r="CQ22" s="7"/>
      <c r="CR22" s="4"/>
      <c r="CS22" s="7"/>
      <c r="CT22" s="4"/>
      <c r="CU22" s="7"/>
      <c r="CV22" s="4"/>
      <c r="CW22" s="7"/>
      <c r="CX22" s="4"/>
      <c r="CY22" s="7"/>
      <c r="CZ22" s="4"/>
      <c r="DA22" s="7"/>
      <c r="DB22" s="4"/>
      <c r="DC22" s="7"/>
      <c r="DD22" s="4"/>
      <c r="DE22" s="7"/>
      <c r="DF22" s="4"/>
      <c r="DG22" s="7"/>
      <c r="DH22" s="4"/>
      <c r="DI22" s="10"/>
      <c r="DJ22" s="2"/>
      <c r="DK22" s="6"/>
    </row>
    <row r="23" spans="1:115" ht="15" thickBot="1" x14ac:dyDescent="0.35">
      <c r="A23" s="2" t="s">
        <v>49</v>
      </c>
      <c r="B23" s="3" t="s">
        <v>50</v>
      </c>
      <c r="C23" s="3" t="s">
        <v>166</v>
      </c>
      <c r="D23" s="3" t="s">
        <v>128</v>
      </c>
      <c r="E23" s="9">
        <f>SUMIF('Sunglasses BOM'!$D$1:$D$79,B23,'Sunglasses BOM'!$E$1:$E$79)</f>
        <v>25200</v>
      </c>
      <c r="F23" s="2" cm="1">
        <f t="array" ref="F23">SUMPRODUCT((MOD(COLUMN($M23:$FR23)-COLUMN($M23),2)=0)*($M23:$FR23))</f>
        <v>0</v>
      </c>
      <c r="G23" s="9">
        <f t="shared" si="51"/>
        <v>25200</v>
      </c>
      <c r="H23" s="42">
        <f>'Final Processes daily output'!$F$30</f>
        <v>29160</v>
      </c>
      <c r="I23" s="22">
        <f>_xlfn.XLOOKUP(A23,'Lens Assembly DPR - ABS'!$A$4:$A$26,'Lens Assembly DPR - ABS'!$F$4:$F$26)</f>
        <v>0</v>
      </c>
      <c r="J23" s="23">
        <f t="shared" si="52"/>
        <v>0</v>
      </c>
      <c r="K23" s="23">
        <f t="shared" si="53"/>
        <v>0.86419753086419748</v>
      </c>
      <c r="L23" s="56"/>
      <c r="M23" s="7"/>
      <c r="N23" s="4"/>
      <c r="O23" s="7"/>
      <c r="P23" s="4"/>
      <c r="Q23" s="7"/>
      <c r="R23" s="4"/>
      <c r="S23" s="7"/>
      <c r="T23" s="4"/>
      <c r="U23" s="7"/>
      <c r="V23" s="4"/>
      <c r="W23" s="7"/>
      <c r="X23" s="4"/>
      <c r="Y23" s="7"/>
      <c r="Z23" s="4"/>
      <c r="AA23" s="7"/>
      <c r="AB23" s="4"/>
      <c r="AC23" s="7"/>
      <c r="AD23" s="4"/>
      <c r="AE23" s="7"/>
      <c r="AF23" s="4"/>
      <c r="AG23" s="7"/>
      <c r="AH23" s="4"/>
      <c r="AI23" s="7"/>
      <c r="AJ23" s="4"/>
      <c r="AK23" s="7"/>
      <c r="AL23" s="4"/>
      <c r="AM23" s="7"/>
      <c r="AN23" s="4"/>
      <c r="AO23" s="7"/>
      <c r="AP23" s="4"/>
      <c r="AQ23" s="7"/>
      <c r="AR23" s="4"/>
      <c r="AS23" s="7"/>
      <c r="AT23" s="4"/>
      <c r="AU23" s="7"/>
      <c r="AV23" s="4"/>
      <c r="AW23" s="7"/>
      <c r="AX23" s="4"/>
      <c r="AY23" s="7"/>
      <c r="AZ23" s="4"/>
      <c r="BA23" s="7"/>
      <c r="BB23" s="4"/>
      <c r="BC23" s="7"/>
      <c r="BD23" s="4"/>
      <c r="BE23" s="7"/>
      <c r="BF23" s="4"/>
      <c r="BG23" s="7"/>
      <c r="BH23" s="4"/>
      <c r="BI23" s="7"/>
      <c r="BJ23" s="4"/>
      <c r="BK23" s="7"/>
      <c r="BL23" s="4"/>
      <c r="BM23" s="7"/>
      <c r="BN23" s="4"/>
      <c r="BO23" s="7"/>
      <c r="BP23" s="4"/>
      <c r="BQ23" s="7"/>
      <c r="BR23" s="4"/>
      <c r="BS23" s="7"/>
      <c r="BT23" s="4"/>
      <c r="BU23" s="7"/>
      <c r="BV23" s="4"/>
      <c r="BW23" s="7"/>
      <c r="BX23" s="4"/>
      <c r="BY23" s="7"/>
      <c r="BZ23" s="4"/>
      <c r="CA23" s="7"/>
      <c r="CB23" s="4"/>
      <c r="CC23" s="7"/>
      <c r="CD23" s="4"/>
      <c r="CE23" s="7"/>
      <c r="CF23" s="4"/>
      <c r="CG23" s="7"/>
      <c r="CH23" s="4"/>
      <c r="CI23" s="7"/>
      <c r="CJ23" s="4"/>
      <c r="CK23" s="7"/>
      <c r="CL23" s="4"/>
      <c r="CM23" s="7"/>
      <c r="CN23" s="4"/>
      <c r="CO23" s="7"/>
      <c r="CP23" s="4"/>
      <c r="CQ23" s="7"/>
      <c r="CR23" s="4"/>
      <c r="CS23" s="7"/>
      <c r="CT23" s="4"/>
      <c r="CU23" s="7"/>
      <c r="CV23" s="4"/>
      <c r="CW23" s="7"/>
      <c r="CX23" s="4"/>
      <c r="CY23" s="7"/>
      <c r="CZ23" s="4"/>
      <c r="DA23" s="7"/>
      <c r="DB23" s="4"/>
      <c r="DC23" s="7"/>
      <c r="DD23" s="4"/>
      <c r="DE23" s="7"/>
      <c r="DF23" s="4"/>
      <c r="DG23" s="7"/>
      <c r="DH23" s="4"/>
      <c r="DI23" s="10"/>
      <c r="DJ23" s="2"/>
      <c r="DK23" s="6"/>
    </row>
    <row r="24" spans="1:115" ht="15" thickBot="1" x14ac:dyDescent="0.35">
      <c r="A24" s="2" t="s">
        <v>51</v>
      </c>
      <c r="B24" s="3" t="s">
        <v>52</v>
      </c>
      <c r="C24" s="3" t="s">
        <v>167</v>
      </c>
      <c r="D24" s="3" t="s">
        <v>129</v>
      </c>
      <c r="E24" s="9">
        <f>SUMIF('Sunglasses BOM'!$D$1:$D$79,B24,'Sunglasses BOM'!$E$1:$E$79)</f>
        <v>16800</v>
      </c>
      <c r="F24" s="2" cm="1">
        <f t="array" ref="F24">SUMPRODUCT((MOD(COLUMN($M24:$FR24)-COLUMN($M24),2)=0)*($M24:$FR24))</f>
        <v>0</v>
      </c>
      <c r="G24" s="9">
        <f t="shared" si="51"/>
        <v>16800</v>
      </c>
      <c r="H24" s="42">
        <f>'Final Processes daily output'!$F$30</f>
        <v>29160</v>
      </c>
      <c r="I24" s="22">
        <f>_xlfn.XLOOKUP(A24,'Lens Assembly DPR - ABS'!$A$4:$A$26,'Lens Assembly DPR - ABS'!$F$4:$F$26)</f>
        <v>0</v>
      </c>
      <c r="J24" s="23">
        <f t="shared" si="52"/>
        <v>0</v>
      </c>
      <c r="K24" s="23">
        <f t="shared" si="53"/>
        <v>0.5761316872427984</v>
      </c>
      <c r="L24" s="56"/>
      <c r="M24" s="7"/>
      <c r="N24" s="4"/>
      <c r="O24" s="7"/>
      <c r="P24" s="4"/>
      <c r="Q24" s="7"/>
      <c r="R24" s="4"/>
      <c r="S24" s="7"/>
      <c r="T24" s="4"/>
      <c r="U24" s="7"/>
      <c r="V24" s="4"/>
      <c r="W24" s="7"/>
      <c r="X24" s="4"/>
      <c r="Y24" s="7"/>
      <c r="Z24" s="4"/>
      <c r="AA24" s="7"/>
      <c r="AB24" s="4"/>
      <c r="AC24" s="7"/>
      <c r="AD24" s="4"/>
      <c r="AE24" s="7"/>
      <c r="AF24" s="4"/>
      <c r="AG24" s="7"/>
      <c r="AH24" s="4"/>
      <c r="AI24" s="7"/>
      <c r="AJ24" s="4"/>
      <c r="AK24" s="7"/>
      <c r="AL24" s="4"/>
      <c r="AM24" s="7"/>
      <c r="AN24" s="4"/>
      <c r="AO24" s="7"/>
      <c r="AP24" s="4"/>
      <c r="AQ24" s="7"/>
      <c r="AR24" s="4"/>
      <c r="AS24" s="7"/>
      <c r="AT24" s="4"/>
      <c r="AU24" s="7"/>
      <c r="AV24" s="4"/>
      <c r="AW24" s="7"/>
      <c r="AX24" s="4"/>
      <c r="AY24" s="7"/>
      <c r="AZ24" s="4"/>
      <c r="BA24" s="7"/>
      <c r="BB24" s="4"/>
      <c r="BC24" s="7"/>
      <c r="BD24" s="4"/>
      <c r="BE24" s="7"/>
      <c r="BF24" s="4"/>
      <c r="BG24" s="7"/>
      <c r="BH24" s="4"/>
      <c r="BI24" s="7"/>
      <c r="BJ24" s="4"/>
      <c r="BK24" s="7"/>
      <c r="BL24" s="4"/>
      <c r="BM24" s="7"/>
      <c r="BN24" s="4"/>
      <c r="BO24" s="7"/>
      <c r="BP24" s="4"/>
      <c r="BQ24" s="7"/>
      <c r="BR24" s="4"/>
      <c r="BS24" s="7"/>
      <c r="BT24" s="4"/>
      <c r="BU24" s="7"/>
      <c r="BV24" s="4"/>
      <c r="BW24" s="7"/>
      <c r="BX24" s="4"/>
      <c r="BY24" s="7"/>
      <c r="BZ24" s="4"/>
      <c r="CA24" s="7"/>
      <c r="CB24" s="4"/>
      <c r="CC24" s="7"/>
      <c r="CD24" s="4"/>
      <c r="CE24" s="7"/>
      <c r="CF24" s="4"/>
      <c r="CG24" s="7"/>
      <c r="CH24" s="4"/>
      <c r="CI24" s="7"/>
      <c r="CJ24" s="4"/>
      <c r="CK24" s="7"/>
      <c r="CL24" s="4"/>
      <c r="CM24" s="7"/>
      <c r="CN24" s="4"/>
      <c r="CO24" s="7"/>
      <c r="CP24" s="4"/>
      <c r="CQ24" s="7"/>
      <c r="CR24" s="4"/>
      <c r="CS24" s="7"/>
      <c r="CT24" s="4"/>
      <c r="CU24" s="7"/>
      <c r="CV24" s="4"/>
      <c r="CW24" s="7"/>
      <c r="CX24" s="4"/>
      <c r="CY24" s="7"/>
      <c r="CZ24" s="4"/>
      <c r="DA24" s="7"/>
      <c r="DB24" s="4"/>
      <c r="DC24" s="7"/>
      <c r="DD24" s="4"/>
      <c r="DE24" s="7"/>
      <c r="DF24" s="4"/>
      <c r="DG24" s="7"/>
      <c r="DH24" s="4"/>
      <c r="DI24" s="10"/>
      <c r="DJ24" s="2"/>
      <c r="DK24" s="6"/>
    </row>
    <row r="25" spans="1:115" ht="15" thickBot="1" x14ac:dyDescent="0.35">
      <c r="A25" s="2" t="s">
        <v>53</v>
      </c>
      <c r="B25" s="3" t="s">
        <v>54</v>
      </c>
      <c r="C25" s="3" t="s">
        <v>168</v>
      </c>
      <c r="D25" s="3" t="s">
        <v>130</v>
      </c>
      <c r="E25" s="9">
        <f>SUMIF('Sunglasses BOM'!$D$1:$D$79,B25,'Sunglasses BOM'!$E$1:$E$79)</f>
        <v>16800</v>
      </c>
      <c r="F25" s="2" cm="1">
        <f t="array" ref="F25">SUMPRODUCT((MOD(COLUMN($M25:$FR25)-COLUMN($M25),2)=0)*($M25:$FR25))</f>
        <v>0</v>
      </c>
      <c r="G25" s="9">
        <f t="shared" si="51"/>
        <v>16800</v>
      </c>
      <c r="H25" s="42">
        <f>'Final Processes daily output'!$F$30</f>
        <v>29160</v>
      </c>
      <c r="I25" s="22">
        <f>_xlfn.XLOOKUP(A25,'Lens Assembly DPR - ABS'!$A$4:$A$26,'Lens Assembly DPR - ABS'!$F$4:$F$26)</f>
        <v>0</v>
      </c>
      <c r="J25" s="23">
        <f t="shared" si="52"/>
        <v>0</v>
      </c>
      <c r="K25" s="23">
        <f t="shared" si="53"/>
        <v>0.5761316872427984</v>
      </c>
      <c r="L25" s="56"/>
      <c r="M25" s="7"/>
      <c r="N25" s="4"/>
      <c r="O25" s="7"/>
      <c r="P25" s="4"/>
      <c r="Q25" s="7"/>
      <c r="R25" s="4"/>
      <c r="S25" s="7"/>
      <c r="T25" s="4"/>
      <c r="U25" s="7"/>
      <c r="V25" s="4"/>
      <c r="W25" s="7"/>
      <c r="X25" s="4"/>
      <c r="Y25" s="7"/>
      <c r="Z25" s="4"/>
      <c r="AA25" s="7"/>
      <c r="AB25" s="4"/>
      <c r="AC25" s="7"/>
      <c r="AD25" s="4"/>
      <c r="AE25" s="7"/>
      <c r="AF25" s="4"/>
      <c r="AG25" s="7"/>
      <c r="AH25" s="4"/>
      <c r="AI25" s="7"/>
      <c r="AJ25" s="4"/>
      <c r="AK25" s="7"/>
      <c r="AL25" s="4"/>
      <c r="AM25" s="7"/>
      <c r="AN25" s="4"/>
      <c r="AO25" s="7"/>
      <c r="AP25" s="4"/>
      <c r="AQ25" s="7"/>
      <c r="AR25" s="4"/>
      <c r="AS25" s="7"/>
      <c r="AT25" s="4"/>
      <c r="AU25" s="7"/>
      <c r="AV25" s="4"/>
      <c r="AW25" s="7"/>
      <c r="AX25" s="4"/>
      <c r="AY25" s="7"/>
      <c r="AZ25" s="4"/>
      <c r="BA25" s="7"/>
      <c r="BB25" s="4"/>
      <c r="BC25" s="7"/>
      <c r="BD25" s="4"/>
      <c r="BE25" s="7"/>
      <c r="BF25" s="4"/>
      <c r="BG25" s="7"/>
      <c r="BH25" s="4"/>
      <c r="BI25" s="7"/>
      <c r="BJ25" s="4"/>
      <c r="BK25" s="7"/>
      <c r="BL25" s="4"/>
      <c r="BM25" s="7"/>
      <c r="BN25" s="4"/>
      <c r="BO25" s="7"/>
      <c r="BP25" s="4"/>
      <c r="BQ25" s="7"/>
      <c r="BR25" s="4"/>
      <c r="BS25" s="7"/>
      <c r="BT25" s="4"/>
      <c r="BU25" s="7"/>
      <c r="BV25" s="4"/>
      <c r="BW25" s="7"/>
      <c r="BX25" s="4"/>
      <c r="BY25" s="7"/>
      <c r="BZ25" s="4"/>
      <c r="CA25" s="7"/>
      <c r="CB25" s="4"/>
      <c r="CC25" s="7"/>
      <c r="CD25" s="4"/>
      <c r="CE25" s="7"/>
      <c r="CF25" s="4"/>
      <c r="CG25" s="7"/>
      <c r="CH25" s="4"/>
      <c r="CI25" s="7"/>
      <c r="CJ25" s="4"/>
      <c r="CK25" s="7"/>
      <c r="CL25" s="4"/>
      <c r="CM25" s="7"/>
      <c r="CN25" s="4"/>
      <c r="CO25" s="7"/>
      <c r="CP25" s="4"/>
      <c r="CQ25" s="7"/>
      <c r="CR25" s="4"/>
      <c r="CS25" s="7"/>
      <c r="CT25" s="4"/>
      <c r="CU25" s="7"/>
      <c r="CV25" s="4"/>
      <c r="CW25" s="7"/>
      <c r="CX25" s="4"/>
      <c r="CY25" s="7"/>
      <c r="CZ25" s="4"/>
      <c r="DA25" s="7"/>
      <c r="DB25" s="4"/>
      <c r="DC25" s="7"/>
      <c r="DD25" s="4"/>
      <c r="DE25" s="7"/>
      <c r="DF25" s="4"/>
      <c r="DG25" s="7"/>
      <c r="DH25" s="4"/>
      <c r="DI25" s="10"/>
      <c r="DJ25" s="2"/>
      <c r="DK25" s="6"/>
    </row>
    <row r="26" spans="1:115" ht="15" thickBot="1" x14ac:dyDescent="0.35">
      <c r="A26" s="4" t="s">
        <v>55</v>
      </c>
      <c r="B26" s="5" t="s">
        <v>56</v>
      </c>
      <c r="C26" s="5" t="s">
        <v>169</v>
      </c>
      <c r="D26" s="5" t="s">
        <v>123</v>
      </c>
      <c r="E26" s="9">
        <f>SUMIF('Sunglasses BOM'!$D$1:$D$79,B26,'Sunglasses BOM'!$E$1:$E$79)</f>
        <v>16800</v>
      </c>
      <c r="F26" s="4" cm="1">
        <f t="array" ref="F26">SUMPRODUCT((MOD(COLUMN($M26:$FR26)-COLUMN($M26),2)=0)*($M26:$FR26))</f>
        <v>0</v>
      </c>
      <c r="G26" s="10">
        <f t="shared" si="51"/>
        <v>16800</v>
      </c>
      <c r="H26" s="42">
        <f>'Final Processes daily output'!$F$30</f>
        <v>29160</v>
      </c>
      <c r="I26" s="22">
        <f>_xlfn.XLOOKUP(A26,'Lens Assembly DPR - ABS'!$A$4:$A$26,'Lens Assembly DPR - ABS'!$F$4:$F$26)</f>
        <v>0</v>
      </c>
      <c r="J26" s="23">
        <f t="shared" si="52"/>
        <v>0</v>
      </c>
      <c r="K26" s="25">
        <f t="shared" si="53"/>
        <v>0.5761316872427984</v>
      </c>
      <c r="L26" s="56"/>
      <c r="M26" s="7"/>
      <c r="N26" s="4"/>
      <c r="O26" s="7"/>
      <c r="P26" s="4"/>
      <c r="Q26" s="7"/>
      <c r="R26" s="4"/>
      <c r="S26" s="7"/>
      <c r="T26" s="4"/>
      <c r="U26" s="7"/>
      <c r="V26" s="4"/>
      <c r="W26" s="7"/>
      <c r="X26" s="4"/>
      <c r="Y26" s="7"/>
      <c r="Z26" s="4"/>
      <c r="AA26" s="7"/>
      <c r="AB26" s="4"/>
      <c r="AC26" s="7"/>
      <c r="AD26" s="4"/>
      <c r="AE26" s="7"/>
      <c r="AF26" s="4"/>
      <c r="AG26" s="7"/>
      <c r="AH26" s="4"/>
      <c r="AI26" s="7"/>
      <c r="AJ26" s="4"/>
      <c r="AK26" s="7"/>
      <c r="AL26" s="4"/>
      <c r="AM26" s="7"/>
      <c r="AN26" s="4"/>
      <c r="AO26" s="7"/>
      <c r="AP26" s="4"/>
      <c r="AQ26" s="7"/>
      <c r="AR26" s="4"/>
      <c r="AS26" s="7"/>
      <c r="AT26" s="4"/>
      <c r="AU26" s="7"/>
      <c r="AV26" s="4"/>
      <c r="AW26" s="7"/>
      <c r="AX26" s="4"/>
      <c r="AY26" s="7"/>
      <c r="AZ26" s="4"/>
      <c r="BA26" s="7"/>
      <c r="BB26" s="4"/>
      <c r="BC26" s="7"/>
      <c r="BD26" s="4"/>
      <c r="BE26" s="7"/>
      <c r="BF26" s="4"/>
      <c r="BG26" s="7"/>
      <c r="BH26" s="4"/>
      <c r="BI26" s="7"/>
      <c r="BJ26" s="4"/>
      <c r="BK26" s="7"/>
      <c r="BL26" s="4"/>
      <c r="BM26" s="7"/>
      <c r="BN26" s="4"/>
      <c r="BO26" s="7"/>
      <c r="BP26" s="4"/>
      <c r="BQ26" s="7"/>
      <c r="BR26" s="4"/>
      <c r="BS26" s="7"/>
      <c r="BT26" s="4"/>
      <c r="BU26" s="7"/>
      <c r="BV26" s="4"/>
      <c r="BW26" s="7"/>
      <c r="BX26" s="4"/>
      <c r="BY26" s="7"/>
      <c r="BZ26" s="4"/>
      <c r="CA26" s="7"/>
      <c r="CB26" s="4"/>
      <c r="CC26" s="7"/>
      <c r="CD26" s="4"/>
      <c r="CE26" s="7"/>
      <c r="CF26" s="4"/>
      <c r="CG26" s="7"/>
      <c r="CH26" s="4"/>
      <c r="CI26" s="7"/>
      <c r="CJ26" s="4"/>
      <c r="CK26" s="7"/>
      <c r="CL26" s="4"/>
      <c r="CM26" s="7"/>
      <c r="CN26" s="4"/>
      <c r="CO26" s="7"/>
      <c r="CP26" s="4"/>
      <c r="CQ26" s="7"/>
      <c r="CR26" s="4"/>
      <c r="CS26" s="7"/>
      <c r="CT26" s="4"/>
      <c r="CU26" s="7"/>
      <c r="CV26" s="4"/>
      <c r="CW26" s="7"/>
      <c r="CX26" s="4"/>
      <c r="CY26" s="7"/>
      <c r="CZ26" s="4"/>
      <c r="DA26" s="7"/>
      <c r="DB26" s="4"/>
      <c r="DC26" s="7"/>
      <c r="DD26" s="4"/>
      <c r="DE26" s="7"/>
      <c r="DF26" s="4"/>
      <c r="DG26" s="7"/>
      <c r="DH26" s="4"/>
      <c r="DI26" s="10"/>
      <c r="DJ26" s="4"/>
      <c r="DK26" s="7"/>
    </row>
  </sheetData>
  <mergeCells count="104">
    <mergeCell ref="DD2:DE2"/>
    <mergeCell ref="DF2:DG2"/>
    <mergeCell ref="DH2:DI2"/>
    <mergeCell ref="DJ2:DK2"/>
    <mergeCell ref="CR2:CS2"/>
    <mergeCell ref="CT2:CU2"/>
    <mergeCell ref="CV2:CW2"/>
    <mergeCell ref="CX2:CY2"/>
    <mergeCell ref="CZ2:DA2"/>
    <mergeCell ref="DB2:DC2"/>
    <mergeCell ref="CF2:CG2"/>
    <mergeCell ref="CH2:CI2"/>
    <mergeCell ref="CJ2:CK2"/>
    <mergeCell ref="CL2:CM2"/>
    <mergeCell ref="CN2:CO2"/>
    <mergeCell ref="CP2:CQ2"/>
    <mergeCell ref="BT2:BU2"/>
    <mergeCell ref="BV2:BW2"/>
    <mergeCell ref="BX2:BY2"/>
    <mergeCell ref="BZ2:CA2"/>
    <mergeCell ref="CB2:CC2"/>
    <mergeCell ref="CD2:CE2"/>
    <mergeCell ref="BH2:BI2"/>
    <mergeCell ref="BJ2:BK2"/>
    <mergeCell ref="BL2:BM2"/>
    <mergeCell ref="BN2:BO2"/>
    <mergeCell ref="BP2:BQ2"/>
    <mergeCell ref="BR2:BS2"/>
    <mergeCell ref="AV2:AW2"/>
    <mergeCell ref="AX2:AY2"/>
    <mergeCell ref="AZ2:BA2"/>
    <mergeCell ref="BB2:BC2"/>
    <mergeCell ref="BD2:BE2"/>
    <mergeCell ref="BF2:BG2"/>
    <mergeCell ref="AJ2:AK2"/>
    <mergeCell ref="AL2:AM2"/>
    <mergeCell ref="AN2:AO2"/>
    <mergeCell ref="AP2:AQ2"/>
    <mergeCell ref="AR2:AS2"/>
    <mergeCell ref="AT2:AU2"/>
    <mergeCell ref="X2:Y2"/>
    <mergeCell ref="Z2:AA2"/>
    <mergeCell ref="AB2:AC2"/>
    <mergeCell ref="AD2:AE2"/>
    <mergeCell ref="AF2:AG2"/>
    <mergeCell ref="AH2:AI2"/>
    <mergeCell ref="DD1:DE1"/>
    <mergeCell ref="DF1:DG1"/>
    <mergeCell ref="DH1:DI1"/>
    <mergeCell ref="DJ1:DK1"/>
    <mergeCell ref="L2:M2"/>
    <mergeCell ref="N2:O2"/>
    <mergeCell ref="P2:Q2"/>
    <mergeCell ref="R2:S2"/>
    <mergeCell ref="T2:U2"/>
    <mergeCell ref="V2:W2"/>
    <mergeCell ref="CR1:CS1"/>
    <mergeCell ref="CT1:CU1"/>
    <mergeCell ref="CV1:CW1"/>
    <mergeCell ref="CX1:CY1"/>
    <mergeCell ref="CZ1:DA1"/>
    <mergeCell ref="DB1:DC1"/>
    <mergeCell ref="CF1:CG1"/>
    <mergeCell ref="CH1:CI1"/>
    <mergeCell ref="CJ1:CK1"/>
    <mergeCell ref="CL1:CM1"/>
    <mergeCell ref="CN1:CO1"/>
    <mergeCell ref="CP1:CQ1"/>
    <mergeCell ref="BT1:BU1"/>
    <mergeCell ref="BV1:BW1"/>
    <mergeCell ref="BX1:BY1"/>
    <mergeCell ref="BZ1:CA1"/>
    <mergeCell ref="CB1:CC1"/>
    <mergeCell ref="CD1:CE1"/>
    <mergeCell ref="BH1:BI1"/>
    <mergeCell ref="BJ1:BK1"/>
    <mergeCell ref="BL1:BM1"/>
    <mergeCell ref="BN1:BO1"/>
    <mergeCell ref="BP1:BQ1"/>
    <mergeCell ref="BR1:BS1"/>
    <mergeCell ref="AV1:AW1"/>
    <mergeCell ref="AX1:AY1"/>
    <mergeCell ref="AZ1:BA1"/>
    <mergeCell ref="BB1:BC1"/>
    <mergeCell ref="BD1:BE1"/>
    <mergeCell ref="BF1:BG1"/>
    <mergeCell ref="AJ1:AK1"/>
    <mergeCell ref="AL1:AM1"/>
    <mergeCell ref="AN1:AO1"/>
    <mergeCell ref="AP1:AQ1"/>
    <mergeCell ref="AR1:AS1"/>
    <mergeCell ref="AT1:AU1"/>
    <mergeCell ref="X1:Y1"/>
    <mergeCell ref="Z1:AA1"/>
    <mergeCell ref="AB1:AC1"/>
    <mergeCell ref="AD1:AE1"/>
    <mergeCell ref="AF1:AG1"/>
    <mergeCell ref="AH1:AI1"/>
    <mergeCell ref="L1:M1"/>
    <mergeCell ref="N1:O1"/>
    <mergeCell ref="P1:Q1"/>
    <mergeCell ref="R1:S1"/>
    <mergeCell ref="T1:U1"/>
    <mergeCell ref="V1:W1"/>
  </mergeCells>
  <conditionalFormatting sqref="J4:J26">
    <cfRule type="cellIs" dxfId="4" priority="1" operator="lessThan">
      <formula>0</formula>
    </cfRule>
  </conditionalFormatting>
  <conditionalFormatting sqref="L2:DI2">
    <cfRule type="expression" dxfId="3" priority="2">
      <formula>SUM(L$4:L$17)&gt;$H$4</formula>
    </cfRule>
  </conditionalFormatting>
  <conditionalFormatting sqref="DJ2:DK2">
    <cfRule type="expression" dxfId="2" priority="3">
      <formula>SUM(DJ$4:DJ$17)&gt;$H$4</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C55C8-A6D3-43EA-AED8-F47D7BC5EC93}">
  <dimension ref="A1:DL27"/>
  <sheetViews>
    <sheetView workbookViewId="0">
      <selection activeCell="K11" sqref="K11"/>
    </sheetView>
  </sheetViews>
  <sheetFormatPr defaultRowHeight="14.4" x14ac:dyDescent="0.3"/>
  <cols>
    <col min="1" max="1" width="16.44140625" bestFit="1" customWidth="1"/>
    <col min="2" max="2" width="33.21875" bestFit="1" customWidth="1"/>
    <col min="3" max="3" width="13.5546875" bestFit="1" customWidth="1"/>
    <col min="4" max="4" width="11" bestFit="1" customWidth="1"/>
    <col min="5" max="5" width="14.44140625" bestFit="1" customWidth="1"/>
    <col min="6" max="6" width="11.88671875" bestFit="1" customWidth="1"/>
    <col min="7" max="7" width="10.21875" bestFit="1" customWidth="1"/>
    <col min="8" max="8" width="6.77734375" bestFit="1" customWidth="1"/>
    <col min="9" max="9" width="8.109375" bestFit="1" customWidth="1"/>
    <col min="10" max="10" width="7.44140625" bestFit="1" customWidth="1"/>
    <col min="11" max="11" width="7.77734375" bestFit="1" customWidth="1"/>
    <col min="12" max="12" width="8.33203125" bestFit="1" customWidth="1"/>
    <col min="14" max="14" width="8.5546875" bestFit="1" customWidth="1"/>
    <col min="15" max="15" width="7.5546875" bestFit="1" customWidth="1"/>
    <col min="16" max="16" width="6" bestFit="1" customWidth="1"/>
    <col min="17" max="17" width="7.5546875" bestFit="1" customWidth="1"/>
    <col min="18" max="18" width="6" bestFit="1" customWidth="1"/>
    <col min="19" max="19" width="7.5546875" bestFit="1" customWidth="1"/>
    <col min="20" max="20" width="6" bestFit="1" customWidth="1"/>
    <col min="21" max="21" width="7.5546875" bestFit="1" customWidth="1"/>
    <col min="22" max="22" width="6" bestFit="1" customWidth="1"/>
    <col min="23" max="23" width="7.5546875" bestFit="1" customWidth="1"/>
    <col min="24" max="24" width="6" bestFit="1" customWidth="1"/>
    <col min="25" max="25" width="7.5546875" bestFit="1" customWidth="1"/>
    <col min="26" max="26" width="6" bestFit="1" customWidth="1"/>
    <col min="27" max="27" width="7.5546875" bestFit="1" customWidth="1"/>
    <col min="28" max="28" width="6" bestFit="1" customWidth="1"/>
    <col min="29" max="29" width="7.5546875" bestFit="1" customWidth="1"/>
    <col min="30" max="30" width="6" bestFit="1" customWidth="1"/>
    <col min="31" max="31" width="7.5546875" bestFit="1" customWidth="1"/>
    <col min="32" max="32" width="6" bestFit="1" customWidth="1"/>
    <col min="33" max="33" width="7.5546875" bestFit="1" customWidth="1"/>
    <col min="34" max="34" width="6" bestFit="1" customWidth="1"/>
    <col min="35" max="35" width="7.5546875" bestFit="1" customWidth="1"/>
    <col min="36" max="36" width="6" bestFit="1" customWidth="1"/>
    <col min="37" max="37" width="7.5546875" bestFit="1" customWidth="1"/>
    <col min="38" max="38" width="6" bestFit="1" customWidth="1"/>
    <col min="39" max="39" width="7.5546875" bestFit="1" customWidth="1"/>
    <col min="40" max="40" width="6" bestFit="1" customWidth="1"/>
    <col min="41" max="41" width="7.5546875" bestFit="1" customWidth="1"/>
    <col min="42" max="42" width="6" bestFit="1" customWidth="1"/>
    <col min="43" max="43" width="7.5546875" bestFit="1" customWidth="1"/>
    <col min="44" max="44" width="6" bestFit="1" customWidth="1"/>
    <col min="45" max="45" width="7.5546875" bestFit="1" customWidth="1"/>
    <col min="46" max="46" width="6" bestFit="1" customWidth="1"/>
    <col min="47" max="47" width="7.5546875" bestFit="1" customWidth="1"/>
    <col min="48" max="48" width="6" bestFit="1" customWidth="1"/>
    <col min="49" max="49" width="7.5546875" bestFit="1" customWidth="1"/>
    <col min="50" max="50" width="6" bestFit="1" customWidth="1"/>
    <col min="51" max="51" width="7.5546875" bestFit="1" customWidth="1"/>
    <col min="52" max="52" width="6" bestFit="1" customWidth="1"/>
    <col min="53" max="53" width="7.5546875" bestFit="1" customWidth="1"/>
    <col min="54" max="54" width="6" bestFit="1" customWidth="1"/>
    <col min="55" max="55" width="7.5546875" bestFit="1" customWidth="1"/>
    <col min="56" max="56" width="6" bestFit="1" customWidth="1"/>
    <col min="57" max="57" width="7.5546875" bestFit="1" customWidth="1"/>
    <col min="58" max="58" width="6" bestFit="1" customWidth="1"/>
    <col min="59" max="59" width="7.5546875" bestFit="1" customWidth="1"/>
    <col min="60" max="60" width="6" bestFit="1" customWidth="1"/>
    <col min="61" max="61" width="7.5546875" bestFit="1" customWidth="1"/>
    <col min="62" max="62" width="6" bestFit="1" customWidth="1"/>
    <col min="63" max="63" width="7.5546875" bestFit="1" customWidth="1"/>
    <col min="64" max="64" width="6" bestFit="1" customWidth="1"/>
    <col min="65" max="65" width="7.5546875" bestFit="1" customWidth="1"/>
    <col min="66" max="66" width="6" bestFit="1" customWidth="1"/>
    <col min="67" max="67" width="7.5546875" bestFit="1" customWidth="1"/>
    <col min="68" max="68" width="6" bestFit="1" customWidth="1"/>
    <col min="69" max="69" width="7.5546875" bestFit="1" customWidth="1"/>
    <col min="70" max="70" width="6" bestFit="1" customWidth="1"/>
    <col min="71" max="71" width="7.5546875" bestFit="1" customWidth="1"/>
    <col min="72" max="72" width="6" bestFit="1" customWidth="1"/>
    <col min="73" max="73" width="7.5546875" bestFit="1" customWidth="1"/>
    <col min="74" max="74" width="6" bestFit="1" customWidth="1"/>
    <col min="75" max="75" width="7.5546875" bestFit="1" customWidth="1"/>
    <col min="76" max="76" width="6" bestFit="1" customWidth="1"/>
    <col min="77" max="77" width="7.5546875" bestFit="1" customWidth="1"/>
    <col min="78" max="78" width="6" bestFit="1" customWidth="1"/>
    <col min="79" max="79" width="7.5546875" bestFit="1" customWidth="1"/>
    <col min="80" max="80" width="6" bestFit="1" customWidth="1"/>
    <col min="81" max="81" width="7.5546875" bestFit="1" customWidth="1"/>
    <col min="82" max="82" width="6" bestFit="1" customWidth="1"/>
    <col min="83" max="83" width="7.5546875" bestFit="1" customWidth="1"/>
    <col min="84" max="84" width="6" bestFit="1" customWidth="1"/>
    <col min="85" max="85" width="7.5546875" bestFit="1" customWidth="1"/>
    <col min="86" max="86" width="6" bestFit="1" customWidth="1"/>
    <col min="87" max="87" width="7.5546875" bestFit="1" customWidth="1"/>
    <col min="88" max="88" width="6" bestFit="1" customWidth="1"/>
    <col min="89" max="89" width="7.5546875" bestFit="1" customWidth="1"/>
    <col min="90" max="90" width="6" bestFit="1" customWidth="1"/>
    <col min="91" max="91" width="7.5546875" bestFit="1" customWidth="1"/>
    <col min="92" max="92" width="6" bestFit="1" customWidth="1"/>
    <col min="93" max="93" width="7.5546875" bestFit="1" customWidth="1"/>
    <col min="94" max="94" width="6" bestFit="1" customWidth="1"/>
    <col min="95" max="95" width="7.5546875" bestFit="1" customWidth="1"/>
    <col min="96" max="96" width="6" bestFit="1" customWidth="1"/>
    <col min="97" max="97" width="7.5546875" bestFit="1" customWidth="1"/>
    <col min="98" max="98" width="6" bestFit="1" customWidth="1"/>
    <col min="99" max="99" width="7.5546875" bestFit="1" customWidth="1"/>
    <col min="100" max="100" width="6" bestFit="1" customWidth="1"/>
    <col min="101" max="101" width="7.5546875" bestFit="1" customWidth="1"/>
    <col min="102" max="102" width="6" bestFit="1" customWidth="1"/>
    <col min="103" max="103" width="7.5546875" bestFit="1" customWidth="1"/>
    <col min="104" max="104" width="6" bestFit="1" customWidth="1"/>
    <col min="105" max="105" width="7.5546875" bestFit="1" customWidth="1"/>
    <col min="106" max="106" width="6" bestFit="1" customWidth="1"/>
    <col min="107" max="107" width="7.5546875" bestFit="1" customWidth="1"/>
    <col min="108" max="108" width="6" bestFit="1" customWidth="1"/>
    <col min="109" max="109" width="7.5546875" bestFit="1" customWidth="1"/>
    <col min="110" max="110" width="6" bestFit="1" customWidth="1"/>
    <col min="111" max="111" width="7.5546875" bestFit="1" customWidth="1"/>
    <col min="112" max="112" width="6" bestFit="1" customWidth="1"/>
    <col min="113" max="113" width="7.5546875" bestFit="1" customWidth="1"/>
    <col min="114" max="114" width="6" bestFit="1" customWidth="1"/>
    <col min="115" max="115" width="7.5546875" bestFit="1" customWidth="1"/>
    <col min="116" max="116" width="6" bestFit="1" customWidth="1"/>
  </cols>
  <sheetData>
    <row r="1" spans="1:116" x14ac:dyDescent="0.3">
      <c r="A1" s="33" t="s">
        <v>418</v>
      </c>
      <c r="B1" s="34" t="s">
        <v>7</v>
      </c>
      <c r="C1" s="47"/>
      <c r="D1" s="47"/>
      <c r="E1" s="47"/>
      <c r="F1" s="47"/>
      <c r="G1" s="47"/>
      <c r="H1" s="48"/>
      <c r="I1" s="49"/>
      <c r="J1" s="49"/>
      <c r="K1" s="49"/>
      <c r="L1" s="50"/>
      <c r="M1" s="50"/>
      <c r="N1" s="34"/>
      <c r="O1" s="106" t="s">
        <v>427</v>
      </c>
      <c r="P1" s="108"/>
      <c r="Q1" s="106" t="s">
        <v>428</v>
      </c>
      <c r="R1" s="108"/>
      <c r="S1" s="106" t="s">
        <v>429</v>
      </c>
      <c r="T1" s="116"/>
      <c r="U1" s="106" t="s">
        <v>430</v>
      </c>
      <c r="V1" s="108"/>
      <c r="W1" s="106" t="s">
        <v>431</v>
      </c>
      <c r="X1" s="116"/>
      <c r="Y1" s="106" t="s">
        <v>432</v>
      </c>
      <c r="Z1" s="108"/>
      <c r="AA1" s="106" t="s">
        <v>433</v>
      </c>
      <c r="AB1" s="116"/>
      <c r="AC1" s="106" t="s">
        <v>434</v>
      </c>
      <c r="AD1" s="108"/>
      <c r="AE1" s="106" t="s">
        <v>435</v>
      </c>
      <c r="AF1" s="116"/>
      <c r="AG1" s="106" t="s">
        <v>436</v>
      </c>
      <c r="AH1" s="108"/>
      <c r="AI1" s="106" t="s">
        <v>437</v>
      </c>
      <c r="AJ1" s="116"/>
      <c r="AK1" s="106" t="s">
        <v>438</v>
      </c>
      <c r="AL1" s="108"/>
      <c r="AM1" s="106" t="s">
        <v>439</v>
      </c>
      <c r="AN1" s="116"/>
      <c r="AO1" s="106" t="s">
        <v>440</v>
      </c>
      <c r="AP1" s="108"/>
      <c r="AQ1" s="106" t="s">
        <v>441</v>
      </c>
      <c r="AR1" s="116"/>
      <c r="AS1" s="106" t="s">
        <v>442</v>
      </c>
      <c r="AT1" s="108"/>
      <c r="AU1" s="106" t="s">
        <v>443</v>
      </c>
      <c r="AV1" s="116"/>
      <c r="AW1" s="106" t="s">
        <v>444</v>
      </c>
      <c r="AX1" s="108"/>
      <c r="AY1" s="106" t="s">
        <v>445</v>
      </c>
      <c r="AZ1" s="116"/>
      <c r="BA1" s="106" t="s">
        <v>446</v>
      </c>
      <c r="BB1" s="108"/>
      <c r="BC1" s="106" t="s">
        <v>447</v>
      </c>
      <c r="BD1" s="116"/>
      <c r="BE1" s="106" t="s">
        <v>448</v>
      </c>
      <c r="BF1" s="108"/>
      <c r="BG1" s="106" t="s">
        <v>449</v>
      </c>
      <c r="BH1" s="116"/>
      <c r="BI1" s="106" t="s">
        <v>450</v>
      </c>
      <c r="BJ1" s="108"/>
      <c r="BK1" s="106" t="s">
        <v>451</v>
      </c>
      <c r="BL1" s="116"/>
      <c r="BM1" s="106" t="s">
        <v>452</v>
      </c>
      <c r="BN1" s="108"/>
      <c r="BO1" s="106" t="s">
        <v>453</v>
      </c>
      <c r="BP1" s="116"/>
      <c r="BQ1" s="106" t="s">
        <v>454</v>
      </c>
      <c r="BR1" s="108"/>
      <c r="BS1" s="106" t="s">
        <v>455</v>
      </c>
      <c r="BT1" s="116"/>
      <c r="BU1" s="106" t="s">
        <v>456</v>
      </c>
      <c r="BV1" s="108"/>
      <c r="BW1" s="106" t="s">
        <v>457</v>
      </c>
      <c r="BX1" s="116"/>
      <c r="BY1" s="106" t="s">
        <v>458</v>
      </c>
      <c r="BZ1" s="108"/>
      <c r="CA1" s="106" t="s">
        <v>459</v>
      </c>
      <c r="CB1" s="116"/>
      <c r="CC1" s="106" t="s">
        <v>460</v>
      </c>
      <c r="CD1" s="108"/>
      <c r="CE1" s="106" t="s">
        <v>461</v>
      </c>
      <c r="CF1" s="116"/>
      <c r="CG1" s="106" t="s">
        <v>462</v>
      </c>
      <c r="CH1" s="108"/>
      <c r="CI1" s="106" t="s">
        <v>463</v>
      </c>
      <c r="CJ1" s="116"/>
      <c r="CK1" s="106" t="s">
        <v>464</v>
      </c>
      <c r="CL1" s="108"/>
      <c r="CM1" s="106" t="s">
        <v>465</v>
      </c>
      <c r="CN1" s="116"/>
      <c r="CO1" s="106" t="s">
        <v>466</v>
      </c>
      <c r="CP1" s="108"/>
      <c r="CQ1" s="106" t="s">
        <v>467</v>
      </c>
      <c r="CR1" s="116"/>
      <c r="CS1" s="106" t="s">
        <v>468</v>
      </c>
      <c r="CT1" s="108"/>
      <c r="CU1" s="106" t="s">
        <v>469</v>
      </c>
      <c r="CV1" s="116"/>
      <c r="CW1" s="106" t="s">
        <v>470</v>
      </c>
      <c r="CX1" s="108"/>
      <c r="CY1" s="106" t="s">
        <v>471</v>
      </c>
      <c r="CZ1" s="116"/>
      <c r="DA1" s="106" t="s">
        <v>472</v>
      </c>
      <c r="DB1" s="108"/>
      <c r="DC1" s="106" t="s">
        <v>473</v>
      </c>
      <c r="DD1" s="116"/>
      <c r="DE1" s="106" t="s">
        <v>474</v>
      </c>
      <c r="DF1" s="108"/>
      <c r="DG1" s="106" t="s">
        <v>475</v>
      </c>
      <c r="DH1" s="116"/>
      <c r="DI1" s="106" t="s">
        <v>476</v>
      </c>
      <c r="DJ1" s="108"/>
      <c r="DK1" s="106" t="s">
        <v>477</v>
      </c>
      <c r="DL1" s="108"/>
    </row>
    <row r="2" spans="1:116" ht="15" thickBot="1" x14ac:dyDescent="0.35">
      <c r="A2" s="35"/>
      <c r="B2" s="36"/>
      <c r="C2" s="46"/>
      <c r="D2" s="46"/>
      <c r="E2" s="46"/>
      <c r="F2" s="46"/>
      <c r="G2" s="46"/>
      <c r="H2" s="37"/>
      <c r="I2" s="5"/>
      <c r="J2" s="5"/>
      <c r="K2" s="41"/>
      <c r="L2" s="11"/>
      <c r="M2" s="11"/>
      <c r="N2" s="7"/>
      <c r="O2" s="115">
        <v>45967</v>
      </c>
      <c r="P2" s="111"/>
      <c r="Q2" s="119">
        <f>WORKDAY.INTL(O2,1,"0000001")</f>
        <v>45968</v>
      </c>
      <c r="R2" s="120"/>
      <c r="S2" s="119">
        <f t="shared" ref="S2" si="0">WORKDAY.INTL(Q2,1,"0000001")</f>
        <v>45969</v>
      </c>
      <c r="T2" s="120"/>
      <c r="U2" s="119">
        <f t="shared" ref="U2" si="1">WORKDAY.INTL(S2,1,"0000001")</f>
        <v>45971</v>
      </c>
      <c r="V2" s="120"/>
      <c r="W2" s="119">
        <f t="shared" ref="W2" si="2">WORKDAY.INTL(U2,1,"0000001")</f>
        <v>45972</v>
      </c>
      <c r="X2" s="120"/>
      <c r="Y2" s="119">
        <f t="shared" ref="Y2" si="3">WORKDAY.INTL(W2,1,"0000001")</f>
        <v>45973</v>
      </c>
      <c r="Z2" s="120"/>
      <c r="AA2" s="119">
        <f t="shared" ref="AA2" si="4">WORKDAY.INTL(Y2,1,"0000001")</f>
        <v>45974</v>
      </c>
      <c r="AB2" s="120"/>
      <c r="AC2" s="119">
        <f t="shared" ref="AC2" si="5">WORKDAY.INTL(AA2,1,"0000001")</f>
        <v>45975</v>
      </c>
      <c r="AD2" s="120"/>
      <c r="AE2" s="119">
        <f t="shared" ref="AE2" si="6">WORKDAY.INTL(AC2,1,"0000001")</f>
        <v>45976</v>
      </c>
      <c r="AF2" s="120"/>
      <c r="AG2" s="119">
        <f t="shared" ref="AG2" si="7">WORKDAY.INTL(AE2,1,"0000001")</f>
        <v>45978</v>
      </c>
      <c r="AH2" s="120"/>
      <c r="AI2" s="119">
        <f t="shared" ref="AI2" si="8">WORKDAY.INTL(AG2,1,"0000001")</f>
        <v>45979</v>
      </c>
      <c r="AJ2" s="120"/>
      <c r="AK2" s="119">
        <f t="shared" ref="AK2" si="9">WORKDAY.INTL(AI2,1,"0000001")</f>
        <v>45980</v>
      </c>
      <c r="AL2" s="120"/>
      <c r="AM2" s="119">
        <f t="shared" ref="AM2" si="10">WORKDAY.INTL(AK2,1,"0000001")</f>
        <v>45981</v>
      </c>
      <c r="AN2" s="120"/>
      <c r="AO2" s="119">
        <f t="shared" ref="AO2" si="11">WORKDAY.INTL(AM2,1,"0000001")</f>
        <v>45982</v>
      </c>
      <c r="AP2" s="120"/>
      <c r="AQ2" s="119">
        <f t="shared" ref="AQ2" si="12">WORKDAY.INTL(AO2,1,"0000001")</f>
        <v>45983</v>
      </c>
      <c r="AR2" s="120"/>
      <c r="AS2" s="119">
        <f t="shared" ref="AS2" si="13">WORKDAY.INTL(AQ2,1,"0000001")</f>
        <v>45985</v>
      </c>
      <c r="AT2" s="120"/>
      <c r="AU2" s="119">
        <f t="shared" ref="AU2" si="14">WORKDAY.INTL(AS2,1,"0000001")</f>
        <v>45986</v>
      </c>
      <c r="AV2" s="120"/>
      <c r="AW2" s="119">
        <f t="shared" ref="AW2" si="15">WORKDAY.INTL(AU2,1,"0000001")</f>
        <v>45987</v>
      </c>
      <c r="AX2" s="120"/>
      <c r="AY2" s="119">
        <f t="shared" ref="AY2" si="16">WORKDAY.INTL(AW2,1,"0000001")</f>
        <v>45988</v>
      </c>
      <c r="AZ2" s="120"/>
      <c r="BA2" s="119">
        <f t="shared" ref="BA2" si="17">WORKDAY.INTL(AY2,1,"0000001")</f>
        <v>45989</v>
      </c>
      <c r="BB2" s="120"/>
      <c r="BC2" s="119">
        <f t="shared" ref="BC2" si="18">WORKDAY.INTL(BA2,1,"0000001")</f>
        <v>45990</v>
      </c>
      <c r="BD2" s="120"/>
      <c r="BE2" s="119">
        <f t="shared" ref="BE2" si="19">WORKDAY.INTL(BC2,1,"0000001")</f>
        <v>45992</v>
      </c>
      <c r="BF2" s="120"/>
      <c r="BG2" s="119">
        <f t="shared" ref="BG2" si="20">WORKDAY.INTL(BE2,1,"0000001")</f>
        <v>45993</v>
      </c>
      <c r="BH2" s="120"/>
      <c r="BI2" s="119">
        <f t="shared" ref="BI2" si="21">WORKDAY.INTL(BG2,1,"0000001")</f>
        <v>45994</v>
      </c>
      <c r="BJ2" s="120"/>
      <c r="BK2" s="119">
        <f t="shared" ref="BK2" si="22">WORKDAY.INTL(BI2,1,"0000001")</f>
        <v>45995</v>
      </c>
      <c r="BL2" s="120"/>
      <c r="BM2" s="119">
        <f t="shared" ref="BM2" si="23">WORKDAY.INTL(BK2,1,"0000001")</f>
        <v>45996</v>
      </c>
      <c r="BN2" s="120"/>
      <c r="BO2" s="119">
        <f t="shared" ref="BO2" si="24">WORKDAY.INTL(BM2,1,"0000001")</f>
        <v>45997</v>
      </c>
      <c r="BP2" s="120"/>
      <c r="BQ2" s="119">
        <f t="shared" ref="BQ2" si="25">WORKDAY.INTL(BO2,1,"0000001")</f>
        <v>45999</v>
      </c>
      <c r="BR2" s="120"/>
      <c r="BS2" s="119">
        <f t="shared" ref="BS2" si="26">WORKDAY.INTL(BQ2,1,"0000001")</f>
        <v>46000</v>
      </c>
      <c r="BT2" s="120"/>
      <c r="BU2" s="119">
        <f t="shared" ref="BU2" si="27">WORKDAY.INTL(BS2,1,"0000001")</f>
        <v>46001</v>
      </c>
      <c r="BV2" s="120"/>
      <c r="BW2" s="119">
        <f t="shared" ref="BW2" si="28">WORKDAY.INTL(BU2,1,"0000001")</f>
        <v>46002</v>
      </c>
      <c r="BX2" s="120"/>
      <c r="BY2" s="119">
        <f t="shared" ref="BY2" si="29">WORKDAY.INTL(BW2,1,"0000001")</f>
        <v>46003</v>
      </c>
      <c r="BZ2" s="120"/>
      <c r="CA2" s="119">
        <f t="shared" ref="CA2" si="30">WORKDAY.INTL(BY2,1,"0000001")</f>
        <v>46004</v>
      </c>
      <c r="CB2" s="120"/>
      <c r="CC2" s="119">
        <f t="shared" ref="CC2" si="31">WORKDAY.INTL(CA2,1,"0000001")</f>
        <v>46006</v>
      </c>
      <c r="CD2" s="120"/>
      <c r="CE2" s="119">
        <f t="shared" ref="CE2" si="32">WORKDAY.INTL(CC2,1,"0000001")</f>
        <v>46007</v>
      </c>
      <c r="CF2" s="120"/>
      <c r="CG2" s="119">
        <f t="shared" ref="CG2" si="33">WORKDAY.INTL(CE2,1,"0000001")</f>
        <v>46008</v>
      </c>
      <c r="CH2" s="120"/>
      <c r="CI2" s="119">
        <f t="shared" ref="CI2" si="34">WORKDAY.INTL(CG2,1,"0000001")</f>
        <v>46009</v>
      </c>
      <c r="CJ2" s="120"/>
      <c r="CK2" s="119">
        <f t="shared" ref="CK2" si="35">WORKDAY.INTL(CI2,1,"0000001")</f>
        <v>46010</v>
      </c>
      <c r="CL2" s="120"/>
      <c r="CM2" s="119">
        <f t="shared" ref="CM2" si="36">WORKDAY.INTL(CK2,1,"0000001")</f>
        <v>46011</v>
      </c>
      <c r="CN2" s="120"/>
      <c r="CO2" s="119">
        <f t="shared" ref="CO2" si="37">WORKDAY.INTL(CM2,1,"0000001")</f>
        <v>46013</v>
      </c>
      <c r="CP2" s="120"/>
      <c r="CQ2" s="119">
        <f t="shared" ref="CQ2" si="38">WORKDAY.INTL(CO2,1,"0000001")</f>
        <v>46014</v>
      </c>
      <c r="CR2" s="120"/>
      <c r="CS2" s="119">
        <f t="shared" ref="CS2" si="39">WORKDAY.INTL(CQ2,1,"0000001")</f>
        <v>46015</v>
      </c>
      <c r="CT2" s="120"/>
      <c r="CU2" s="119">
        <f t="shared" ref="CU2" si="40">WORKDAY.INTL(CS2,1,"0000001")</f>
        <v>46016</v>
      </c>
      <c r="CV2" s="120"/>
      <c r="CW2" s="119">
        <f t="shared" ref="CW2" si="41">WORKDAY.INTL(CU2,1,"0000001")</f>
        <v>46017</v>
      </c>
      <c r="CX2" s="120"/>
      <c r="CY2" s="119">
        <f t="shared" ref="CY2" si="42">WORKDAY.INTL(CW2,1,"0000001")</f>
        <v>46018</v>
      </c>
      <c r="CZ2" s="120"/>
      <c r="DA2" s="119">
        <f t="shared" ref="DA2" si="43">WORKDAY.INTL(CY2,1,"0000001")</f>
        <v>46020</v>
      </c>
      <c r="DB2" s="120"/>
      <c r="DC2" s="119">
        <f t="shared" ref="DC2" si="44">WORKDAY.INTL(DA2,1,"0000001")</f>
        <v>46021</v>
      </c>
      <c r="DD2" s="120"/>
      <c r="DE2" s="119">
        <f t="shared" ref="DE2" si="45">WORKDAY.INTL(DC2,1,"0000001")</f>
        <v>46022</v>
      </c>
      <c r="DF2" s="120"/>
      <c r="DG2" s="119">
        <f t="shared" ref="DG2" si="46">WORKDAY.INTL(DE2,1,"0000001")</f>
        <v>46023</v>
      </c>
      <c r="DH2" s="120"/>
      <c r="DI2" s="119">
        <f t="shared" ref="DI2" si="47">WORKDAY.INTL(DG2,1,"0000001")</f>
        <v>46024</v>
      </c>
      <c r="DJ2" s="120"/>
      <c r="DK2" s="119">
        <f t="shared" ref="DK2" si="48">WORKDAY.INTL(DI2,1,"0000001")</f>
        <v>46025</v>
      </c>
      <c r="DL2" s="120"/>
    </row>
    <row r="3" spans="1:116" ht="72" x14ac:dyDescent="0.3">
      <c r="A3" s="38" t="s">
        <v>505</v>
      </c>
      <c r="B3" s="39" t="s">
        <v>3</v>
      </c>
      <c r="C3" s="49" t="s">
        <v>180</v>
      </c>
      <c r="D3" s="49" t="s">
        <v>503</v>
      </c>
      <c r="E3" s="49" t="s">
        <v>179</v>
      </c>
      <c r="F3" s="49" t="s">
        <v>504</v>
      </c>
      <c r="G3" s="49" t="s">
        <v>119</v>
      </c>
      <c r="H3" s="40" t="s">
        <v>419</v>
      </c>
      <c r="I3" s="51" t="s">
        <v>420</v>
      </c>
      <c r="J3" s="52" t="s">
        <v>421</v>
      </c>
      <c r="K3" s="38" t="s">
        <v>423</v>
      </c>
      <c r="L3" s="39" t="s">
        <v>540</v>
      </c>
      <c r="M3" s="40" t="s">
        <v>508</v>
      </c>
      <c r="N3" s="53" t="s">
        <v>424</v>
      </c>
      <c r="O3" s="30" t="s">
        <v>425</v>
      </c>
      <c r="P3" s="31" t="s">
        <v>426</v>
      </c>
      <c r="Q3" s="30" t="s">
        <v>425</v>
      </c>
      <c r="R3" s="31" t="s">
        <v>426</v>
      </c>
      <c r="S3" s="30" t="s">
        <v>425</v>
      </c>
      <c r="T3" s="31" t="s">
        <v>426</v>
      </c>
      <c r="U3" s="30" t="s">
        <v>425</v>
      </c>
      <c r="V3" s="31" t="s">
        <v>426</v>
      </c>
      <c r="W3" s="30" t="s">
        <v>425</v>
      </c>
      <c r="X3" s="31" t="s">
        <v>426</v>
      </c>
      <c r="Y3" s="30" t="s">
        <v>425</v>
      </c>
      <c r="Z3" s="31" t="s">
        <v>426</v>
      </c>
      <c r="AA3" s="30" t="s">
        <v>425</v>
      </c>
      <c r="AB3" s="31" t="s">
        <v>426</v>
      </c>
      <c r="AC3" s="30" t="s">
        <v>425</v>
      </c>
      <c r="AD3" s="31" t="s">
        <v>426</v>
      </c>
      <c r="AE3" s="30" t="s">
        <v>425</v>
      </c>
      <c r="AF3" s="31" t="s">
        <v>426</v>
      </c>
      <c r="AG3" s="30" t="s">
        <v>425</v>
      </c>
      <c r="AH3" s="31" t="s">
        <v>426</v>
      </c>
      <c r="AI3" s="30" t="s">
        <v>425</v>
      </c>
      <c r="AJ3" s="31" t="s">
        <v>426</v>
      </c>
      <c r="AK3" s="30" t="s">
        <v>425</v>
      </c>
      <c r="AL3" s="31" t="s">
        <v>426</v>
      </c>
      <c r="AM3" s="30" t="s">
        <v>425</v>
      </c>
      <c r="AN3" s="31" t="s">
        <v>426</v>
      </c>
      <c r="AO3" s="30" t="s">
        <v>425</v>
      </c>
      <c r="AP3" s="31" t="s">
        <v>426</v>
      </c>
      <c r="AQ3" s="30" t="s">
        <v>425</v>
      </c>
      <c r="AR3" s="31" t="s">
        <v>426</v>
      </c>
      <c r="AS3" s="30" t="s">
        <v>425</v>
      </c>
      <c r="AT3" s="31" t="s">
        <v>426</v>
      </c>
      <c r="AU3" s="30" t="s">
        <v>425</v>
      </c>
      <c r="AV3" s="31" t="s">
        <v>426</v>
      </c>
      <c r="AW3" s="30" t="s">
        <v>425</v>
      </c>
      <c r="AX3" s="31" t="s">
        <v>426</v>
      </c>
      <c r="AY3" s="30" t="s">
        <v>425</v>
      </c>
      <c r="AZ3" s="31" t="s">
        <v>426</v>
      </c>
      <c r="BA3" s="30" t="s">
        <v>425</v>
      </c>
      <c r="BB3" s="31" t="s">
        <v>426</v>
      </c>
      <c r="BC3" s="30" t="s">
        <v>425</v>
      </c>
      <c r="BD3" s="31" t="s">
        <v>426</v>
      </c>
      <c r="BE3" s="30" t="s">
        <v>425</v>
      </c>
      <c r="BF3" s="31" t="s">
        <v>426</v>
      </c>
      <c r="BG3" s="30" t="s">
        <v>425</v>
      </c>
      <c r="BH3" s="31" t="s">
        <v>426</v>
      </c>
      <c r="BI3" s="30" t="s">
        <v>425</v>
      </c>
      <c r="BJ3" s="31" t="s">
        <v>426</v>
      </c>
      <c r="BK3" s="30" t="s">
        <v>425</v>
      </c>
      <c r="BL3" s="31" t="s">
        <v>426</v>
      </c>
      <c r="BM3" s="30" t="s">
        <v>425</v>
      </c>
      <c r="BN3" s="31" t="s">
        <v>426</v>
      </c>
      <c r="BO3" s="30" t="s">
        <v>425</v>
      </c>
      <c r="BP3" s="31" t="s">
        <v>426</v>
      </c>
      <c r="BQ3" s="30" t="s">
        <v>425</v>
      </c>
      <c r="BR3" s="31" t="s">
        <v>426</v>
      </c>
      <c r="BS3" s="30" t="s">
        <v>425</v>
      </c>
      <c r="BT3" s="31" t="s">
        <v>426</v>
      </c>
      <c r="BU3" s="30" t="s">
        <v>425</v>
      </c>
      <c r="BV3" s="31" t="s">
        <v>426</v>
      </c>
      <c r="BW3" s="30" t="s">
        <v>425</v>
      </c>
      <c r="BX3" s="31" t="s">
        <v>426</v>
      </c>
      <c r="BY3" s="30" t="s">
        <v>425</v>
      </c>
      <c r="BZ3" s="31" t="s">
        <v>426</v>
      </c>
      <c r="CA3" s="30" t="s">
        <v>425</v>
      </c>
      <c r="CB3" s="31" t="s">
        <v>426</v>
      </c>
      <c r="CC3" s="30" t="s">
        <v>425</v>
      </c>
      <c r="CD3" s="31" t="s">
        <v>426</v>
      </c>
      <c r="CE3" s="30" t="s">
        <v>425</v>
      </c>
      <c r="CF3" s="31" t="s">
        <v>426</v>
      </c>
      <c r="CG3" s="30" t="s">
        <v>425</v>
      </c>
      <c r="CH3" s="31" t="s">
        <v>426</v>
      </c>
      <c r="CI3" s="30" t="s">
        <v>425</v>
      </c>
      <c r="CJ3" s="31" t="s">
        <v>426</v>
      </c>
      <c r="CK3" s="30" t="s">
        <v>425</v>
      </c>
      <c r="CL3" s="31" t="s">
        <v>426</v>
      </c>
      <c r="CM3" s="30" t="s">
        <v>425</v>
      </c>
      <c r="CN3" s="31" t="s">
        <v>426</v>
      </c>
      <c r="CO3" s="30" t="s">
        <v>425</v>
      </c>
      <c r="CP3" s="31" t="s">
        <v>426</v>
      </c>
      <c r="CQ3" s="30" t="s">
        <v>425</v>
      </c>
      <c r="CR3" s="31" t="s">
        <v>426</v>
      </c>
      <c r="CS3" s="30" t="s">
        <v>425</v>
      </c>
      <c r="CT3" s="31" t="s">
        <v>426</v>
      </c>
      <c r="CU3" s="30" t="s">
        <v>425</v>
      </c>
      <c r="CV3" s="31" t="s">
        <v>426</v>
      </c>
      <c r="CW3" s="30" t="s">
        <v>425</v>
      </c>
      <c r="CX3" s="31" t="s">
        <v>426</v>
      </c>
      <c r="CY3" s="30" t="s">
        <v>425</v>
      </c>
      <c r="CZ3" s="31" t="s">
        <v>426</v>
      </c>
      <c r="DA3" s="30" t="s">
        <v>425</v>
      </c>
      <c r="DB3" s="31" t="s">
        <v>426</v>
      </c>
      <c r="DC3" s="30" t="s">
        <v>425</v>
      </c>
      <c r="DD3" s="31" t="s">
        <v>426</v>
      </c>
      <c r="DE3" s="30" t="s">
        <v>425</v>
      </c>
      <c r="DF3" s="31" t="s">
        <v>426</v>
      </c>
      <c r="DG3" s="30" t="s">
        <v>425</v>
      </c>
      <c r="DH3" s="31" t="s">
        <v>426</v>
      </c>
      <c r="DI3" s="30" t="s">
        <v>425</v>
      </c>
      <c r="DJ3" s="31" t="s">
        <v>426</v>
      </c>
      <c r="DK3" s="30" t="s">
        <v>425</v>
      </c>
      <c r="DL3" s="31" t="s">
        <v>426</v>
      </c>
    </row>
    <row r="4" spans="1:116" x14ac:dyDescent="0.3">
      <c r="A4" s="2" t="s">
        <v>58</v>
      </c>
      <c r="B4" s="3" t="s">
        <v>59</v>
      </c>
      <c r="C4" s="3" t="s">
        <v>170</v>
      </c>
      <c r="D4" s="3" t="s">
        <v>111</v>
      </c>
      <c r="E4" s="3" t="s">
        <v>170</v>
      </c>
      <c r="F4" s="3" t="s">
        <v>111</v>
      </c>
      <c r="G4" s="3"/>
      <c r="H4" s="6">
        <f>SUMIF('Sunglasses BOM'!C2:C79,A4,'Sunglasses BOM'!E2:E79)</f>
        <v>117600</v>
      </c>
      <c r="I4" s="32">
        <f>_xlfn.XLOOKUP(A4,'Lens Assembly DPR - PP'!$A$4:$A$27,'Lens Assembly DPR - PP'!$I$4:$I$27)</f>
        <v>0</v>
      </c>
      <c r="J4" s="9">
        <f>H4-I4</f>
        <v>117600</v>
      </c>
      <c r="K4" s="42">
        <f>'Final Processes daily output'!$F$33</f>
        <v>29160</v>
      </c>
      <c r="L4" s="22">
        <f>_xlfn.XLOOKUP(A4,'Pad Printing DPR - PP'!$A$4:$A$27,'Pad Printing DPR - PP'!$I$4:$I$27)</f>
        <v>0</v>
      </c>
      <c r="M4" s="23">
        <f>L4-I4</f>
        <v>0</v>
      </c>
      <c r="N4" s="54">
        <f>J4/K4</f>
        <v>4.0329218106995883</v>
      </c>
      <c r="O4" s="2"/>
      <c r="P4" s="6"/>
      <c r="Q4" s="2"/>
      <c r="R4" s="6"/>
      <c r="S4" s="2"/>
      <c r="T4" s="6"/>
      <c r="U4" s="2"/>
      <c r="V4" s="6"/>
      <c r="W4" s="2"/>
      <c r="X4" s="6"/>
      <c r="Y4" s="2"/>
      <c r="Z4" s="6"/>
      <c r="AA4" s="2"/>
      <c r="AB4" s="6"/>
      <c r="AC4" s="2"/>
      <c r="AD4" s="6"/>
      <c r="AE4" s="2"/>
      <c r="AF4" s="6"/>
      <c r="AG4" s="2"/>
      <c r="AH4" s="6"/>
      <c r="AI4" s="2"/>
      <c r="AJ4" s="6"/>
      <c r="AK4" s="2"/>
      <c r="AL4" s="6"/>
      <c r="AM4" s="2"/>
      <c r="AN4" s="6"/>
      <c r="AO4" s="2"/>
      <c r="AP4" s="6"/>
      <c r="AQ4" s="2"/>
      <c r="AR4" s="6"/>
      <c r="AS4" s="2"/>
      <c r="AT4" s="6"/>
      <c r="AU4" s="2"/>
      <c r="AV4" s="6"/>
      <c r="AW4" s="2"/>
      <c r="AX4" s="6"/>
      <c r="AY4" s="2"/>
      <c r="AZ4" s="6"/>
      <c r="BA4" s="2"/>
      <c r="BB4" s="6"/>
      <c r="BC4" s="2"/>
      <c r="BD4" s="6"/>
      <c r="BE4" s="2"/>
      <c r="BF4" s="6"/>
      <c r="BG4" s="2"/>
      <c r="BH4" s="6"/>
      <c r="BI4" s="2"/>
      <c r="BJ4" s="6"/>
      <c r="BK4" s="2"/>
      <c r="BL4" s="6"/>
      <c r="BM4" s="2"/>
      <c r="BN4" s="6"/>
      <c r="BO4" s="2"/>
      <c r="BP4" s="6"/>
      <c r="BQ4" s="2"/>
      <c r="BR4" s="6"/>
      <c r="BS4" s="2"/>
      <c r="BT4" s="6"/>
      <c r="BU4" s="2"/>
      <c r="BV4" s="6"/>
      <c r="BW4" s="2"/>
      <c r="BX4" s="6"/>
      <c r="BY4" s="2"/>
      <c r="BZ4" s="6"/>
      <c r="CA4" s="2"/>
      <c r="CB4" s="6"/>
      <c r="CC4" s="2"/>
      <c r="CD4" s="6"/>
      <c r="CE4" s="2"/>
      <c r="CF4" s="6"/>
      <c r="CG4" s="2"/>
      <c r="CH4" s="6"/>
      <c r="CI4" s="2"/>
      <c r="CJ4" s="6"/>
      <c r="CK4" s="2"/>
      <c r="CL4" s="6"/>
      <c r="CM4" s="2"/>
      <c r="CN4" s="6"/>
      <c r="CO4" s="2"/>
      <c r="CP4" s="6"/>
      <c r="CQ4" s="2"/>
      <c r="CR4" s="6"/>
      <c r="CS4" s="2"/>
      <c r="CT4" s="6"/>
      <c r="CU4" s="2"/>
      <c r="CV4" s="6"/>
      <c r="CW4" s="2"/>
      <c r="CX4" s="6"/>
      <c r="CY4" s="2"/>
      <c r="CZ4" s="6"/>
      <c r="DA4" s="2"/>
      <c r="DB4" s="6"/>
      <c r="DC4" s="2"/>
      <c r="DD4" s="6"/>
      <c r="DE4" s="2"/>
      <c r="DF4" s="6"/>
      <c r="DG4" s="2"/>
      <c r="DH4" s="6"/>
      <c r="DI4" s="2"/>
      <c r="DJ4" s="6"/>
      <c r="DK4" s="2"/>
      <c r="DL4" s="6"/>
    </row>
    <row r="5" spans="1:116" x14ac:dyDescent="0.3">
      <c r="A5" s="2" t="s">
        <v>60</v>
      </c>
      <c r="B5" s="3" t="s">
        <v>61</v>
      </c>
      <c r="C5" s="3" t="s">
        <v>171</v>
      </c>
      <c r="D5" s="3" t="s">
        <v>112</v>
      </c>
      <c r="E5" s="3" t="s">
        <v>171</v>
      </c>
      <c r="F5" s="3" t="s">
        <v>112</v>
      </c>
      <c r="G5" s="3" t="s">
        <v>119</v>
      </c>
      <c r="H5" s="6">
        <f>SUMIF('Sunglasses BOM'!C3:C80,A5,'Sunglasses BOM'!E3:E80)</f>
        <v>58800</v>
      </c>
      <c r="I5" s="32">
        <f>_xlfn.XLOOKUP(A5,'Lens Assembly DPR - PP'!$A$4:$A$27,'Lens Assembly DPR - PP'!$I$4:$I$27)</f>
        <v>0</v>
      </c>
      <c r="J5" s="9">
        <f t="shared" ref="J5:J27" si="49">H5-I5</f>
        <v>58800</v>
      </c>
      <c r="K5" s="42">
        <f>'Final Processes daily output'!$F$33</f>
        <v>29160</v>
      </c>
      <c r="L5" s="22">
        <f>_xlfn.XLOOKUP(A5,'Pad Printing DPR - PP'!$A$4:$A$27,'Pad Printing DPR - PP'!$I$4:$I$27)</f>
        <v>0</v>
      </c>
      <c r="M5" s="23">
        <f t="shared" ref="M5:M27" si="50">L5-I5</f>
        <v>0</v>
      </c>
      <c r="N5" s="54">
        <f t="shared" ref="N5:N27" si="51">J5/K5</f>
        <v>2.0164609053497942</v>
      </c>
      <c r="O5" s="2"/>
      <c r="P5" s="6"/>
      <c r="Q5" s="2"/>
      <c r="R5" s="6"/>
      <c r="S5" s="2"/>
      <c r="T5" s="6"/>
      <c r="U5" s="2"/>
      <c r="V5" s="6"/>
      <c r="W5" s="2"/>
      <c r="X5" s="6"/>
      <c r="Y5" s="2"/>
      <c r="Z5" s="6"/>
      <c r="AA5" s="2"/>
      <c r="AB5" s="6"/>
      <c r="AC5" s="2"/>
      <c r="AD5" s="6"/>
      <c r="AE5" s="2"/>
      <c r="AF5" s="6"/>
      <c r="AG5" s="2"/>
      <c r="AH5" s="6"/>
      <c r="AI5" s="2"/>
      <c r="AJ5" s="6"/>
      <c r="AK5" s="2"/>
      <c r="AL5" s="6"/>
      <c r="AM5" s="2"/>
      <c r="AN5" s="6"/>
      <c r="AO5" s="2"/>
      <c r="AP5" s="6"/>
      <c r="AQ5" s="2"/>
      <c r="AR5" s="6"/>
      <c r="AS5" s="2"/>
      <c r="AT5" s="6"/>
      <c r="AU5" s="2"/>
      <c r="AV5" s="6"/>
      <c r="AW5" s="2"/>
      <c r="AX5" s="6"/>
      <c r="AY5" s="2"/>
      <c r="AZ5" s="6"/>
      <c r="BA5" s="2"/>
      <c r="BB5" s="6"/>
      <c r="BC5" s="2"/>
      <c r="BD5" s="6"/>
      <c r="BE5" s="2"/>
      <c r="BF5" s="6"/>
      <c r="BG5" s="2"/>
      <c r="BH5" s="6"/>
      <c r="BI5" s="2"/>
      <c r="BJ5" s="6"/>
      <c r="BK5" s="2"/>
      <c r="BL5" s="6"/>
      <c r="BM5" s="2"/>
      <c r="BN5" s="6"/>
      <c r="BO5" s="2"/>
      <c r="BP5" s="6"/>
      <c r="BQ5" s="2"/>
      <c r="BR5" s="6"/>
      <c r="BS5" s="2"/>
      <c r="BT5" s="6"/>
      <c r="BU5" s="2"/>
      <c r="BV5" s="6"/>
      <c r="BW5" s="2"/>
      <c r="BX5" s="6"/>
      <c r="BY5" s="2"/>
      <c r="BZ5" s="6"/>
      <c r="CA5" s="2"/>
      <c r="CB5" s="6"/>
      <c r="CC5" s="2"/>
      <c r="CD5" s="6"/>
      <c r="CE5" s="2"/>
      <c r="CF5" s="6"/>
      <c r="CG5" s="2"/>
      <c r="CH5" s="6"/>
      <c r="CI5" s="2"/>
      <c r="CJ5" s="6"/>
      <c r="CK5" s="2"/>
      <c r="CL5" s="6"/>
      <c r="CM5" s="2"/>
      <c r="CN5" s="6"/>
      <c r="CO5" s="2"/>
      <c r="CP5" s="6"/>
      <c r="CQ5" s="2"/>
      <c r="CR5" s="6"/>
      <c r="CS5" s="2"/>
      <c r="CT5" s="6"/>
      <c r="CU5" s="2"/>
      <c r="CV5" s="6"/>
      <c r="CW5" s="2"/>
      <c r="CX5" s="6"/>
      <c r="CY5" s="2"/>
      <c r="CZ5" s="6"/>
      <c r="DA5" s="2"/>
      <c r="DB5" s="6"/>
      <c r="DC5" s="2"/>
      <c r="DD5" s="6"/>
      <c r="DE5" s="2"/>
      <c r="DF5" s="6"/>
      <c r="DG5" s="2"/>
      <c r="DH5" s="6"/>
      <c r="DI5" s="2"/>
      <c r="DJ5" s="6"/>
      <c r="DK5" s="2"/>
      <c r="DL5" s="6"/>
    </row>
    <row r="6" spans="1:116" x14ac:dyDescent="0.3">
      <c r="A6" s="2" t="s">
        <v>62</v>
      </c>
      <c r="B6" s="3" t="s">
        <v>63</v>
      </c>
      <c r="C6" s="3" t="s">
        <v>171</v>
      </c>
      <c r="D6" s="3" t="s">
        <v>112</v>
      </c>
      <c r="E6" s="3" t="s">
        <v>171</v>
      </c>
      <c r="F6" s="3" t="s">
        <v>112</v>
      </c>
      <c r="G6" s="3"/>
      <c r="H6" s="6">
        <f>SUMIF('Sunglasses BOM'!C4:C81,A6,'Sunglasses BOM'!E4:E81)</f>
        <v>50400</v>
      </c>
      <c r="I6" s="32">
        <f>_xlfn.XLOOKUP(A6,'Lens Assembly DPR - PP'!$A$4:$A$27,'Lens Assembly DPR - PP'!$I$4:$I$27)</f>
        <v>0</v>
      </c>
      <c r="J6" s="9">
        <f t="shared" si="49"/>
        <v>50400</v>
      </c>
      <c r="K6" s="42">
        <f>'Final Processes daily output'!$F$33</f>
        <v>29160</v>
      </c>
      <c r="L6" s="22">
        <f>_xlfn.XLOOKUP(A6,'Pad Printing DPR - PP'!$A$4:$A$27,'Pad Printing DPR - PP'!$I$4:$I$27)</f>
        <v>0</v>
      </c>
      <c r="M6" s="23">
        <f t="shared" si="50"/>
        <v>0</v>
      </c>
      <c r="N6" s="54">
        <f t="shared" si="51"/>
        <v>1.728395061728395</v>
      </c>
      <c r="O6" s="2"/>
      <c r="P6" s="6"/>
      <c r="Q6" s="2"/>
      <c r="R6" s="6"/>
      <c r="S6" s="2"/>
      <c r="T6" s="6"/>
      <c r="U6" s="2"/>
      <c r="V6" s="6"/>
      <c r="W6" s="2"/>
      <c r="X6" s="6"/>
      <c r="Y6" s="2"/>
      <c r="Z6" s="6"/>
      <c r="AA6" s="2"/>
      <c r="AB6" s="6"/>
      <c r="AC6" s="2"/>
      <c r="AD6" s="6"/>
      <c r="AE6" s="2"/>
      <c r="AF6" s="6"/>
      <c r="AG6" s="2"/>
      <c r="AH6" s="6"/>
      <c r="AI6" s="2"/>
      <c r="AJ6" s="6"/>
      <c r="AK6" s="2"/>
      <c r="AL6" s="6"/>
      <c r="AM6" s="2"/>
      <c r="AN6" s="6"/>
      <c r="AO6" s="2"/>
      <c r="AP6" s="6"/>
      <c r="AQ6" s="2"/>
      <c r="AR6" s="6"/>
      <c r="AS6" s="2"/>
      <c r="AT6" s="6"/>
      <c r="AU6" s="2"/>
      <c r="AV6" s="6"/>
      <c r="AW6" s="2"/>
      <c r="AX6" s="6"/>
      <c r="AY6" s="2"/>
      <c r="AZ6" s="6"/>
      <c r="BA6" s="2"/>
      <c r="BB6" s="6"/>
      <c r="BC6" s="2"/>
      <c r="BD6" s="6"/>
      <c r="BE6" s="2"/>
      <c r="BF6" s="6"/>
      <c r="BG6" s="2"/>
      <c r="BH6" s="6"/>
      <c r="BI6" s="2"/>
      <c r="BJ6" s="6"/>
      <c r="BK6" s="2"/>
      <c r="BL6" s="6"/>
      <c r="BM6" s="2"/>
      <c r="BN6" s="6"/>
      <c r="BO6" s="2"/>
      <c r="BP6" s="6"/>
      <c r="BQ6" s="2"/>
      <c r="BR6" s="6"/>
      <c r="BS6" s="2"/>
      <c r="BT6" s="6"/>
      <c r="BU6" s="2"/>
      <c r="BV6" s="6"/>
      <c r="BW6" s="2"/>
      <c r="BX6" s="6"/>
      <c r="BY6" s="2"/>
      <c r="BZ6" s="6"/>
      <c r="CA6" s="2"/>
      <c r="CB6" s="6"/>
      <c r="CC6" s="2"/>
      <c r="CD6" s="6"/>
      <c r="CE6" s="2"/>
      <c r="CF6" s="6"/>
      <c r="CG6" s="2"/>
      <c r="CH6" s="6"/>
      <c r="CI6" s="2"/>
      <c r="CJ6" s="6"/>
      <c r="CK6" s="2"/>
      <c r="CL6" s="6"/>
      <c r="CM6" s="2"/>
      <c r="CN6" s="6"/>
      <c r="CO6" s="2"/>
      <c r="CP6" s="6"/>
      <c r="CQ6" s="2"/>
      <c r="CR6" s="6"/>
      <c r="CS6" s="2"/>
      <c r="CT6" s="6"/>
      <c r="CU6" s="2"/>
      <c r="CV6" s="6"/>
      <c r="CW6" s="2"/>
      <c r="CX6" s="6"/>
      <c r="CY6" s="2"/>
      <c r="CZ6" s="6"/>
      <c r="DA6" s="2"/>
      <c r="DB6" s="6"/>
      <c r="DC6" s="2"/>
      <c r="DD6" s="6"/>
      <c r="DE6" s="2"/>
      <c r="DF6" s="6"/>
      <c r="DG6" s="2"/>
      <c r="DH6" s="6"/>
      <c r="DI6" s="2"/>
      <c r="DJ6" s="6"/>
      <c r="DK6" s="2"/>
      <c r="DL6" s="6"/>
    </row>
    <row r="7" spans="1:116" x14ac:dyDescent="0.3">
      <c r="A7" s="2" t="s">
        <v>64</v>
      </c>
      <c r="B7" s="3" t="s">
        <v>65</v>
      </c>
      <c r="C7" s="3" t="s">
        <v>172</v>
      </c>
      <c r="D7" s="3" t="s">
        <v>120</v>
      </c>
      <c r="E7" s="3" t="s">
        <v>172</v>
      </c>
      <c r="F7" s="3" t="s">
        <v>120</v>
      </c>
      <c r="G7" s="3" t="s">
        <v>119</v>
      </c>
      <c r="H7" s="6">
        <f>SUMIF('Sunglasses BOM'!C5:C82,A7,'Sunglasses BOM'!E5:E82)</f>
        <v>25200</v>
      </c>
      <c r="I7" s="32">
        <f>_xlfn.XLOOKUP(A7,'Lens Assembly DPR - PP'!$A$4:$A$27,'Lens Assembly DPR - PP'!$I$4:$I$27)</f>
        <v>0</v>
      </c>
      <c r="J7" s="9">
        <f t="shared" si="49"/>
        <v>25200</v>
      </c>
      <c r="K7" s="42">
        <f>'Final Processes daily output'!$F$33</f>
        <v>29160</v>
      </c>
      <c r="L7" s="22">
        <f>_xlfn.XLOOKUP(A7,'Pad Printing DPR - PP'!$A$4:$A$27,'Pad Printing DPR - PP'!$I$4:$I$27)</f>
        <v>0</v>
      </c>
      <c r="M7" s="23">
        <f t="shared" si="50"/>
        <v>0</v>
      </c>
      <c r="N7" s="54">
        <f t="shared" si="51"/>
        <v>0.86419753086419748</v>
      </c>
      <c r="O7" s="2"/>
      <c r="P7" s="6"/>
      <c r="Q7" s="2"/>
      <c r="R7" s="6"/>
      <c r="S7" s="2"/>
      <c r="T7" s="6"/>
      <c r="U7" s="2"/>
      <c r="V7" s="6"/>
      <c r="W7" s="2"/>
      <c r="X7" s="6"/>
      <c r="Y7" s="2"/>
      <c r="Z7" s="6"/>
      <c r="AA7" s="2"/>
      <c r="AB7" s="6"/>
      <c r="AC7" s="2"/>
      <c r="AD7" s="6"/>
      <c r="AE7" s="2"/>
      <c r="AF7" s="6"/>
      <c r="AG7" s="2"/>
      <c r="AH7" s="6"/>
      <c r="AI7" s="2"/>
      <c r="AJ7" s="6"/>
      <c r="AK7" s="2"/>
      <c r="AL7" s="6"/>
      <c r="AM7" s="2"/>
      <c r="AN7" s="6"/>
      <c r="AO7" s="2"/>
      <c r="AP7" s="6"/>
      <c r="AQ7" s="2"/>
      <c r="AR7" s="6"/>
      <c r="AS7" s="2"/>
      <c r="AT7" s="6"/>
      <c r="AU7" s="2"/>
      <c r="AV7" s="6"/>
      <c r="AW7" s="2"/>
      <c r="AX7" s="6"/>
      <c r="AY7" s="2"/>
      <c r="AZ7" s="6"/>
      <c r="BA7" s="2"/>
      <c r="BB7" s="6"/>
      <c r="BC7" s="2"/>
      <c r="BD7" s="6"/>
      <c r="BE7" s="2"/>
      <c r="BF7" s="6"/>
      <c r="BG7" s="2"/>
      <c r="BH7" s="6"/>
      <c r="BI7" s="2"/>
      <c r="BJ7" s="6"/>
      <c r="BK7" s="2"/>
      <c r="BL7" s="6"/>
      <c r="BM7" s="2"/>
      <c r="BN7" s="6"/>
      <c r="BO7" s="2"/>
      <c r="BP7" s="6"/>
      <c r="BQ7" s="2"/>
      <c r="BR7" s="6"/>
      <c r="BS7" s="2"/>
      <c r="BT7" s="6"/>
      <c r="BU7" s="2"/>
      <c r="BV7" s="6"/>
      <c r="BW7" s="2"/>
      <c r="BX7" s="6"/>
      <c r="BY7" s="2"/>
      <c r="BZ7" s="6"/>
      <c r="CA7" s="2"/>
      <c r="CB7" s="6"/>
      <c r="CC7" s="2"/>
      <c r="CD7" s="6"/>
      <c r="CE7" s="2"/>
      <c r="CF7" s="6"/>
      <c r="CG7" s="2"/>
      <c r="CH7" s="6"/>
      <c r="CI7" s="2"/>
      <c r="CJ7" s="6"/>
      <c r="CK7" s="2"/>
      <c r="CL7" s="6"/>
      <c r="CM7" s="2"/>
      <c r="CN7" s="6"/>
      <c r="CO7" s="2"/>
      <c r="CP7" s="6"/>
      <c r="CQ7" s="2"/>
      <c r="CR7" s="6"/>
      <c r="CS7" s="2"/>
      <c r="CT7" s="6"/>
      <c r="CU7" s="2"/>
      <c r="CV7" s="6"/>
      <c r="CW7" s="2"/>
      <c r="CX7" s="6"/>
      <c r="CY7" s="2"/>
      <c r="CZ7" s="6"/>
      <c r="DA7" s="2"/>
      <c r="DB7" s="6"/>
      <c r="DC7" s="2"/>
      <c r="DD7" s="6"/>
      <c r="DE7" s="2"/>
      <c r="DF7" s="6"/>
      <c r="DG7" s="2"/>
      <c r="DH7" s="6"/>
      <c r="DI7" s="2"/>
      <c r="DJ7" s="6"/>
      <c r="DK7" s="2"/>
      <c r="DL7" s="6"/>
    </row>
    <row r="8" spans="1:116" x14ac:dyDescent="0.3">
      <c r="A8" s="2" t="s">
        <v>66</v>
      </c>
      <c r="B8" s="3" t="s">
        <v>67</v>
      </c>
      <c r="C8" s="3" t="s">
        <v>172</v>
      </c>
      <c r="D8" s="3" t="s">
        <v>120</v>
      </c>
      <c r="E8" s="3" t="s">
        <v>172</v>
      </c>
      <c r="F8" s="3" t="s">
        <v>120</v>
      </c>
      <c r="G8" s="3"/>
      <c r="H8" s="6">
        <f>SUMIF('Sunglasses BOM'!C6:C83,A8,'Sunglasses BOM'!E6:E83)</f>
        <v>25200</v>
      </c>
      <c r="I8" s="32">
        <f>_xlfn.XLOOKUP(A8,'Lens Assembly DPR - PP'!$A$4:$A$27,'Lens Assembly DPR - PP'!$I$4:$I$27)</f>
        <v>0</v>
      </c>
      <c r="J8" s="9">
        <f t="shared" si="49"/>
        <v>25200</v>
      </c>
      <c r="K8" s="42">
        <f>'Final Processes daily output'!$F$33</f>
        <v>29160</v>
      </c>
      <c r="L8" s="22">
        <f>_xlfn.XLOOKUP(A8,'Pad Printing DPR - PP'!$A$4:$A$27,'Pad Printing DPR - PP'!$I$4:$I$27)</f>
        <v>0</v>
      </c>
      <c r="M8" s="23">
        <f t="shared" si="50"/>
        <v>0</v>
      </c>
      <c r="N8" s="54">
        <f t="shared" si="51"/>
        <v>0.86419753086419748</v>
      </c>
      <c r="O8" s="2"/>
      <c r="P8" s="6"/>
      <c r="Q8" s="2"/>
      <c r="R8" s="6"/>
      <c r="S8" s="2"/>
      <c r="T8" s="6"/>
      <c r="U8" s="2"/>
      <c r="V8" s="6"/>
      <c r="W8" s="2"/>
      <c r="X8" s="6"/>
      <c r="Y8" s="2"/>
      <c r="Z8" s="6"/>
      <c r="AA8" s="2"/>
      <c r="AB8" s="6"/>
      <c r="AC8" s="2"/>
      <c r="AD8" s="6"/>
      <c r="AE8" s="2"/>
      <c r="AF8" s="6"/>
      <c r="AG8" s="2"/>
      <c r="AH8" s="6"/>
      <c r="AI8" s="2"/>
      <c r="AJ8" s="6"/>
      <c r="AK8" s="2"/>
      <c r="AL8" s="6"/>
      <c r="AM8" s="2"/>
      <c r="AN8" s="6"/>
      <c r="AO8" s="2"/>
      <c r="AP8" s="6"/>
      <c r="AQ8" s="2"/>
      <c r="AR8" s="6"/>
      <c r="AS8" s="2"/>
      <c r="AT8" s="6"/>
      <c r="AU8" s="2"/>
      <c r="AV8" s="6"/>
      <c r="AW8" s="2"/>
      <c r="AX8" s="6"/>
      <c r="AY8" s="2"/>
      <c r="AZ8" s="6"/>
      <c r="BA8" s="2"/>
      <c r="BB8" s="6"/>
      <c r="BC8" s="2"/>
      <c r="BD8" s="6"/>
      <c r="BE8" s="2"/>
      <c r="BF8" s="6"/>
      <c r="BG8" s="2"/>
      <c r="BH8" s="6"/>
      <c r="BI8" s="2"/>
      <c r="BJ8" s="6"/>
      <c r="BK8" s="2"/>
      <c r="BL8" s="6"/>
      <c r="BM8" s="2"/>
      <c r="BN8" s="6"/>
      <c r="BO8" s="2"/>
      <c r="BP8" s="6"/>
      <c r="BQ8" s="2"/>
      <c r="BR8" s="6"/>
      <c r="BS8" s="2"/>
      <c r="BT8" s="6"/>
      <c r="BU8" s="2"/>
      <c r="BV8" s="6"/>
      <c r="BW8" s="2"/>
      <c r="BX8" s="6"/>
      <c r="BY8" s="2"/>
      <c r="BZ8" s="6"/>
      <c r="CA8" s="2"/>
      <c r="CB8" s="6"/>
      <c r="CC8" s="2"/>
      <c r="CD8" s="6"/>
      <c r="CE8" s="2"/>
      <c r="CF8" s="6"/>
      <c r="CG8" s="2"/>
      <c r="CH8" s="6"/>
      <c r="CI8" s="2"/>
      <c r="CJ8" s="6"/>
      <c r="CK8" s="2"/>
      <c r="CL8" s="6"/>
      <c r="CM8" s="2"/>
      <c r="CN8" s="6"/>
      <c r="CO8" s="2"/>
      <c r="CP8" s="6"/>
      <c r="CQ8" s="2"/>
      <c r="CR8" s="6"/>
      <c r="CS8" s="2"/>
      <c r="CT8" s="6"/>
      <c r="CU8" s="2"/>
      <c r="CV8" s="6"/>
      <c r="CW8" s="2"/>
      <c r="CX8" s="6"/>
      <c r="CY8" s="2"/>
      <c r="CZ8" s="6"/>
      <c r="DA8" s="2"/>
      <c r="DB8" s="6"/>
      <c r="DC8" s="2"/>
      <c r="DD8" s="6"/>
      <c r="DE8" s="2"/>
      <c r="DF8" s="6"/>
      <c r="DG8" s="2"/>
      <c r="DH8" s="6"/>
      <c r="DI8" s="2"/>
      <c r="DJ8" s="6"/>
      <c r="DK8" s="2"/>
      <c r="DL8" s="6"/>
    </row>
    <row r="9" spans="1:116" x14ac:dyDescent="0.3">
      <c r="A9" s="2" t="s">
        <v>68</v>
      </c>
      <c r="B9" s="3" t="s">
        <v>69</v>
      </c>
      <c r="C9" s="3" t="s">
        <v>173</v>
      </c>
      <c r="D9" s="3" t="s">
        <v>116</v>
      </c>
      <c r="E9" s="3" t="s">
        <v>173</v>
      </c>
      <c r="F9" s="3" t="s">
        <v>116</v>
      </c>
      <c r="G9" s="3" t="s">
        <v>119</v>
      </c>
      <c r="H9" s="6">
        <f>SUMIF('Sunglasses BOM'!C7:C84,A9,'Sunglasses BOM'!E7:E84)</f>
        <v>42000</v>
      </c>
      <c r="I9" s="32">
        <f>_xlfn.XLOOKUP(A9,'Lens Assembly DPR - PP'!$A$4:$A$27,'Lens Assembly DPR - PP'!$I$4:$I$27)</f>
        <v>0</v>
      </c>
      <c r="J9" s="9">
        <f t="shared" si="49"/>
        <v>42000</v>
      </c>
      <c r="K9" s="42">
        <f>'Final Processes daily output'!$F$33</f>
        <v>29160</v>
      </c>
      <c r="L9" s="22">
        <f>_xlfn.XLOOKUP(A9,'Pad Printing DPR - PP'!$A$4:$A$27,'Pad Printing DPR - PP'!$I$4:$I$27)</f>
        <v>0</v>
      </c>
      <c r="M9" s="23">
        <f t="shared" si="50"/>
        <v>0</v>
      </c>
      <c r="N9" s="54">
        <f t="shared" si="51"/>
        <v>1.440329218106996</v>
      </c>
      <c r="O9" s="2"/>
      <c r="P9" s="6"/>
      <c r="Q9" s="2"/>
      <c r="R9" s="6"/>
      <c r="S9" s="2"/>
      <c r="T9" s="6"/>
      <c r="U9" s="2"/>
      <c r="V9" s="6"/>
      <c r="W9" s="2"/>
      <c r="X9" s="6"/>
      <c r="Y9" s="2"/>
      <c r="Z9" s="6"/>
      <c r="AA9" s="2"/>
      <c r="AB9" s="6"/>
      <c r="AC9" s="2"/>
      <c r="AD9" s="6"/>
      <c r="AE9" s="2"/>
      <c r="AF9" s="6"/>
      <c r="AG9" s="2"/>
      <c r="AH9" s="6"/>
      <c r="AI9" s="2"/>
      <c r="AJ9" s="6"/>
      <c r="AK9" s="2"/>
      <c r="AL9" s="6"/>
      <c r="AM9" s="2"/>
      <c r="AN9" s="6"/>
      <c r="AO9" s="2"/>
      <c r="AP9" s="6"/>
      <c r="AQ9" s="2"/>
      <c r="AR9" s="6"/>
      <c r="AS9" s="2"/>
      <c r="AT9" s="6"/>
      <c r="AU9" s="2"/>
      <c r="AV9" s="6"/>
      <c r="AW9" s="2"/>
      <c r="AX9" s="6"/>
      <c r="AY9" s="2"/>
      <c r="AZ9" s="6"/>
      <c r="BA9" s="2"/>
      <c r="BB9" s="6"/>
      <c r="BC9" s="2"/>
      <c r="BD9" s="6"/>
      <c r="BE9" s="2"/>
      <c r="BF9" s="6"/>
      <c r="BG9" s="2"/>
      <c r="BH9" s="6"/>
      <c r="BI9" s="2"/>
      <c r="BJ9" s="6"/>
      <c r="BK9" s="2"/>
      <c r="BL9" s="6"/>
      <c r="BM9" s="2"/>
      <c r="BN9" s="6"/>
      <c r="BO9" s="2"/>
      <c r="BP9" s="6"/>
      <c r="BQ9" s="2"/>
      <c r="BR9" s="6"/>
      <c r="BS9" s="2"/>
      <c r="BT9" s="6"/>
      <c r="BU9" s="2"/>
      <c r="BV9" s="6"/>
      <c r="BW9" s="2"/>
      <c r="BX9" s="6"/>
      <c r="BY9" s="2"/>
      <c r="BZ9" s="6"/>
      <c r="CA9" s="2"/>
      <c r="CB9" s="6"/>
      <c r="CC9" s="2"/>
      <c r="CD9" s="6"/>
      <c r="CE9" s="2"/>
      <c r="CF9" s="6"/>
      <c r="CG9" s="2"/>
      <c r="CH9" s="6"/>
      <c r="CI9" s="2"/>
      <c r="CJ9" s="6"/>
      <c r="CK9" s="2"/>
      <c r="CL9" s="6"/>
      <c r="CM9" s="2"/>
      <c r="CN9" s="6"/>
      <c r="CO9" s="2"/>
      <c r="CP9" s="6"/>
      <c r="CQ9" s="2"/>
      <c r="CR9" s="6"/>
      <c r="CS9" s="2"/>
      <c r="CT9" s="6"/>
      <c r="CU9" s="2"/>
      <c r="CV9" s="6"/>
      <c r="CW9" s="2"/>
      <c r="CX9" s="6"/>
      <c r="CY9" s="2"/>
      <c r="CZ9" s="6"/>
      <c r="DA9" s="2"/>
      <c r="DB9" s="6"/>
      <c r="DC9" s="2"/>
      <c r="DD9" s="6"/>
      <c r="DE9" s="2"/>
      <c r="DF9" s="6"/>
      <c r="DG9" s="2"/>
      <c r="DH9" s="6"/>
      <c r="DI9" s="2"/>
      <c r="DJ9" s="6"/>
      <c r="DK9" s="2"/>
      <c r="DL9" s="6"/>
    </row>
    <row r="10" spans="1:116" x14ac:dyDescent="0.3">
      <c r="A10" s="2" t="s">
        <v>70</v>
      </c>
      <c r="B10" s="3" t="s">
        <v>71</v>
      </c>
      <c r="C10" s="3" t="s">
        <v>173</v>
      </c>
      <c r="D10" s="3" t="s">
        <v>116</v>
      </c>
      <c r="E10" s="3" t="s">
        <v>173</v>
      </c>
      <c r="F10" s="3" t="s">
        <v>116</v>
      </c>
      <c r="G10" s="3"/>
      <c r="H10" s="6">
        <f>SUMIF('Sunglasses BOM'!C8:C85,A10,'Sunglasses BOM'!E8:E85)</f>
        <v>42000</v>
      </c>
      <c r="I10" s="32">
        <f>_xlfn.XLOOKUP(A10,'Lens Assembly DPR - PP'!$A$4:$A$27,'Lens Assembly DPR - PP'!$I$4:$I$27)</f>
        <v>0</v>
      </c>
      <c r="J10" s="9">
        <f t="shared" si="49"/>
        <v>42000</v>
      </c>
      <c r="K10" s="42">
        <f>'Final Processes daily output'!$F$33</f>
        <v>29160</v>
      </c>
      <c r="L10" s="22">
        <f>_xlfn.XLOOKUP(A10,'Pad Printing DPR - PP'!$A$4:$A$27,'Pad Printing DPR - PP'!$I$4:$I$27)</f>
        <v>0</v>
      </c>
      <c r="M10" s="23">
        <f t="shared" si="50"/>
        <v>0</v>
      </c>
      <c r="N10" s="54">
        <f t="shared" si="51"/>
        <v>1.440329218106996</v>
      </c>
      <c r="O10" s="2"/>
      <c r="P10" s="6"/>
      <c r="Q10" s="2"/>
      <c r="R10" s="6"/>
      <c r="S10" s="2"/>
      <c r="T10" s="6"/>
      <c r="U10" s="2"/>
      <c r="V10" s="6"/>
      <c r="W10" s="2"/>
      <c r="X10" s="6"/>
      <c r="Y10" s="2"/>
      <c r="Z10" s="6"/>
      <c r="AA10" s="2"/>
      <c r="AB10" s="6"/>
      <c r="AC10" s="2"/>
      <c r="AD10" s="6"/>
      <c r="AE10" s="2"/>
      <c r="AF10" s="6"/>
      <c r="AG10" s="2"/>
      <c r="AH10" s="6"/>
      <c r="AI10" s="2"/>
      <c r="AJ10" s="6"/>
      <c r="AK10" s="2"/>
      <c r="AL10" s="6"/>
      <c r="AM10" s="2"/>
      <c r="AN10" s="6"/>
      <c r="AO10" s="2"/>
      <c r="AP10" s="6"/>
      <c r="AQ10" s="2"/>
      <c r="AR10" s="6"/>
      <c r="AS10" s="2"/>
      <c r="AT10" s="6"/>
      <c r="AU10" s="2"/>
      <c r="AV10" s="6"/>
      <c r="AW10" s="2"/>
      <c r="AX10" s="6"/>
      <c r="AY10" s="2"/>
      <c r="AZ10" s="6"/>
      <c r="BA10" s="2"/>
      <c r="BB10" s="6"/>
      <c r="BC10" s="2"/>
      <c r="BD10" s="6"/>
      <c r="BE10" s="2"/>
      <c r="BF10" s="6"/>
      <c r="BG10" s="2"/>
      <c r="BH10" s="6"/>
      <c r="BI10" s="2"/>
      <c r="BJ10" s="6"/>
      <c r="BK10" s="2"/>
      <c r="BL10" s="6"/>
      <c r="BM10" s="2"/>
      <c r="BN10" s="6"/>
      <c r="BO10" s="2"/>
      <c r="BP10" s="6"/>
      <c r="BQ10" s="2"/>
      <c r="BR10" s="6"/>
      <c r="BS10" s="2"/>
      <c r="BT10" s="6"/>
      <c r="BU10" s="2"/>
      <c r="BV10" s="6"/>
      <c r="BW10" s="2"/>
      <c r="BX10" s="6"/>
      <c r="BY10" s="2"/>
      <c r="BZ10" s="6"/>
      <c r="CA10" s="2"/>
      <c r="CB10" s="6"/>
      <c r="CC10" s="2"/>
      <c r="CD10" s="6"/>
      <c r="CE10" s="2"/>
      <c r="CF10" s="6"/>
      <c r="CG10" s="2"/>
      <c r="CH10" s="6"/>
      <c r="CI10" s="2"/>
      <c r="CJ10" s="6"/>
      <c r="CK10" s="2"/>
      <c r="CL10" s="6"/>
      <c r="CM10" s="2"/>
      <c r="CN10" s="6"/>
      <c r="CO10" s="2"/>
      <c r="CP10" s="6"/>
      <c r="CQ10" s="2"/>
      <c r="CR10" s="6"/>
      <c r="CS10" s="2"/>
      <c r="CT10" s="6"/>
      <c r="CU10" s="2"/>
      <c r="CV10" s="6"/>
      <c r="CW10" s="2"/>
      <c r="CX10" s="6"/>
      <c r="CY10" s="2"/>
      <c r="CZ10" s="6"/>
      <c r="DA10" s="2"/>
      <c r="DB10" s="6"/>
      <c r="DC10" s="2"/>
      <c r="DD10" s="6"/>
      <c r="DE10" s="2"/>
      <c r="DF10" s="6"/>
      <c r="DG10" s="2"/>
      <c r="DH10" s="6"/>
      <c r="DI10" s="2"/>
      <c r="DJ10" s="6"/>
      <c r="DK10" s="2"/>
      <c r="DL10" s="6"/>
    </row>
    <row r="11" spans="1:116" ht="15" thickBot="1" x14ac:dyDescent="0.35">
      <c r="A11" s="2" t="s">
        <v>72</v>
      </c>
      <c r="B11" s="3" t="s">
        <v>73</v>
      </c>
      <c r="C11" s="3" t="s">
        <v>113</v>
      </c>
      <c r="D11" s="3" t="s">
        <v>113</v>
      </c>
      <c r="E11" s="3" t="s">
        <v>113</v>
      </c>
      <c r="F11" s="3" t="s">
        <v>113</v>
      </c>
      <c r="G11" s="3" t="s">
        <v>119</v>
      </c>
      <c r="H11" s="6">
        <f>SUMIF('Sunglasses BOM'!C9:C86,A11,'Sunglasses BOM'!E9:E86)</f>
        <v>33600</v>
      </c>
      <c r="I11" s="32">
        <f>_xlfn.XLOOKUP(A11,'Lens Assembly DPR - PP'!$A$4:$A$27,'Lens Assembly DPR - PP'!$I$4:$I$27)</f>
        <v>0</v>
      </c>
      <c r="J11" s="10">
        <f t="shared" si="49"/>
        <v>33600</v>
      </c>
      <c r="K11" s="42">
        <f>'Final Processes daily output'!$F$33</f>
        <v>29160</v>
      </c>
      <c r="L11" s="22">
        <f>_xlfn.XLOOKUP(A11,'Pad Printing DPR - PP'!$A$4:$A$27,'Pad Printing DPR - PP'!$I$4:$I$27)</f>
        <v>0</v>
      </c>
      <c r="M11" s="23">
        <f t="shared" si="50"/>
        <v>0</v>
      </c>
      <c r="N11" s="55">
        <f t="shared" si="51"/>
        <v>1.1522633744855968</v>
      </c>
      <c r="O11" s="4"/>
      <c r="P11" s="7"/>
      <c r="Q11" s="4"/>
      <c r="R11" s="7"/>
      <c r="S11" s="4"/>
      <c r="T11" s="7"/>
      <c r="U11" s="4"/>
      <c r="V11" s="7"/>
      <c r="W11" s="4"/>
      <c r="X11" s="7"/>
      <c r="Y11" s="4"/>
      <c r="Z11" s="7"/>
      <c r="AA11" s="4"/>
      <c r="AB11" s="7"/>
      <c r="AC11" s="4"/>
      <c r="AD11" s="7"/>
      <c r="AE11" s="4"/>
      <c r="AF11" s="7"/>
      <c r="AG11" s="4"/>
      <c r="AH11" s="7"/>
      <c r="AI11" s="4"/>
      <c r="AJ11" s="7"/>
      <c r="AK11" s="4"/>
      <c r="AL11" s="7"/>
      <c r="AM11" s="4"/>
      <c r="AN11" s="7"/>
      <c r="AO11" s="4"/>
      <c r="AP11" s="7"/>
      <c r="AQ11" s="4"/>
      <c r="AR11" s="7"/>
      <c r="AS11" s="4"/>
      <c r="AT11" s="7"/>
      <c r="AU11" s="4"/>
      <c r="AV11" s="7"/>
      <c r="AW11" s="4"/>
      <c r="AX11" s="7"/>
      <c r="AY11" s="4"/>
      <c r="AZ11" s="7"/>
      <c r="BA11" s="4"/>
      <c r="BB11" s="7"/>
      <c r="BC11" s="4"/>
      <c r="BD11" s="7"/>
      <c r="BE11" s="4"/>
      <c r="BF11" s="7"/>
      <c r="BG11" s="4"/>
      <c r="BH11" s="7"/>
      <c r="BI11" s="4"/>
      <c r="BJ11" s="7"/>
      <c r="BK11" s="4"/>
      <c r="BL11" s="7"/>
      <c r="BM11" s="4"/>
      <c r="BN11" s="7"/>
      <c r="BO11" s="4"/>
      <c r="BP11" s="7"/>
      <c r="BQ11" s="4"/>
      <c r="BR11" s="7"/>
      <c r="BS11" s="4"/>
      <c r="BT11" s="7"/>
      <c r="BU11" s="4"/>
      <c r="BV11" s="7"/>
      <c r="BW11" s="4"/>
      <c r="BX11" s="7"/>
      <c r="BY11" s="4"/>
      <c r="BZ11" s="7"/>
      <c r="CA11" s="4"/>
      <c r="CB11" s="7"/>
      <c r="CC11" s="4"/>
      <c r="CD11" s="7"/>
      <c r="CE11" s="4"/>
      <c r="CF11" s="7"/>
      <c r="CG11" s="4"/>
      <c r="CH11" s="7"/>
      <c r="CI11" s="4"/>
      <c r="CJ11" s="7"/>
      <c r="CK11" s="4"/>
      <c r="CL11" s="7"/>
      <c r="CM11" s="4"/>
      <c r="CN11" s="7"/>
      <c r="CO11" s="4"/>
      <c r="CP11" s="7"/>
      <c r="CQ11" s="4"/>
      <c r="CR11" s="7"/>
      <c r="CS11" s="4"/>
      <c r="CT11" s="7"/>
      <c r="CU11" s="4"/>
      <c r="CV11" s="7"/>
      <c r="CW11" s="4"/>
      <c r="CX11" s="7"/>
      <c r="CY11" s="4"/>
      <c r="CZ11" s="7"/>
      <c r="DA11" s="4"/>
      <c r="DB11" s="7"/>
      <c r="DC11" s="4"/>
      <c r="DD11" s="7"/>
      <c r="DE11" s="4"/>
      <c r="DF11" s="7"/>
      <c r="DG11" s="4"/>
      <c r="DH11" s="7"/>
      <c r="DI11" s="4"/>
      <c r="DJ11" s="7"/>
      <c r="DK11" s="4"/>
      <c r="DL11" s="7"/>
    </row>
    <row r="12" spans="1:116" ht="15" thickBot="1" x14ac:dyDescent="0.35">
      <c r="A12" s="2" t="s">
        <v>74</v>
      </c>
      <c r="B12" s="3" t="s">
        <v>75</v>
      </c>
      <c r="C12" s="3" t="s">
        <v>113</v>
      </c>
      <c r="D12" s="3" t="s">
        <v>113</v>
      </c>
      <c r="E12" s="3" t="s">
        <v>113</v>
      </c>
      <c r="F12" s="3" t="s">
        <v>113</v>
      </c>
      <c r="G12" s="3"/>
      <c r="H12" s="6">
        <f>SUMIF('Sunglasses BOM'!C10:C87,A12,'Sunglasses BOM'!E10:E87)</f>
        <v>42000</v>
      </c>
      <c r="I12" s="32">
        <f>_xlfn.XLOOKUP(A12,'Lens Assembly DPR - PP'!$A$4:$A$27,'Lens Assembly DPR - PP'!$I$4:$I$27)</f>
        <v>0</v>
      </c>
      <c r="J12" s="10">
        <f t="shared" si="49"/>
        <v>42000</v>
      </c>
      <c r="K12" s="42">
        <f>'Final Processes daily output'!$F$33</f>
        <v>29160</v>
      </c>
      <c r="L12" s="22">
        <f>_xlfn.XLOOKUP(A12,'Pad Printing DPR - PP'!$A$4:$A$27,'Pad Printing DPR - PP'!$I$4:$I$27)</f>
        <v>0</v>
      </c>
      <c r="M12" s="23">
        <f t="shared" si="50"/>
        <v>0</v>
      </c>
      <c r="N12" s="55">
        <f t="shared" si="51"/>
        <v>1.440329218106996</v>
      </c>
      <c r="O12" s="4"/>
      <c r="P12" s="7"/>
      <c r="Q12" s="4"/>
      <c r="R12" s="7"/>
      <c r="S12" s="4"/>
      <c r="T12" s="7"/>
      <c r="U12" s="4"/>
      <c r="V12" s="7"/>
      <c r="W12" s="4"/>
      <c r="X12" s="7"/>
      <c r="Y12" s="4"/>
      <c r="Z12" s="7"/>
      <c r="AA12" s="4"/>
      <c r="AB12" s="7"/>
      <c r="AC12" s="4"/>
      <c r="AD12" s="7"/>
      <c r="AE12" s="4"/>
      <c r="AF12" s="7"/>
      <c r="AG12" s="4"/>
      <c r="AH12" s="7"/>
      <c r="AI12" s="4"/>
      <c r="AJ12" s="7"/>
      <c r="AK12" s="4"/>
      <c r="AL12" s="7"/>
      <c r="AM12" s="4"/>
      <c r="AN12" s="7"/>
      <c r="AO12" s="4"/>
      <c r="AP12" s="7"/>
      <c r="AQ12" s="4"/>
      <c r="AR12" s="7"/>
      <c r="AS12" s="4"/>
      <c r="AT12" s="7"/>
      <c r="AU12" s="4"/>
      <c r="AV12" s="7"/>
      <c r="AW12" s="4"/>
      <c r="AX12" s="7"/>
      <c r="AY12" s="4"/>
      <c r="AZ12" s="7"/>
      <c r="BA12" s="4"/>
      <c r="BB12" s="7"/>
      <c r="BC12" s="4"/>
      <c r="BD12" s="7"/>
      <c r="BE12" s="4"/>
      <c r="BF12" s="7"/>
      <c r="BG12" s="4"/>
      <c r="BH12" s="7"/>
      <c r="BI12" s="4"/>
      <c r="BJ12" s="7"/>
      <c r="BK12" s="4"/>
      <c r="BL12" s="7"/>
      <c r="BM12" s="4"/>
      <c r="BN12" s="7"/>
      <c r="BO12" s="4"/>
      <c r="BP12" s="7"/>
      <c r="BQ12" s="4"/>
      <c r="BR12" s="7"/>
      <c r="BS12" s="4"/>
      <c r="BT12" s="7"/>
      <c r="BU12" s="4"/>
      <c r="BV12" s="7"/>
      <c r="BW12" s="4"/>
      <c r="BX12" s="7"/>
      <c r="BY12" s="4"/>
      <c r="BZ12" s="7"/>
      <c r="CA12" s="4"/>
      <c r="CB12" s="7"/>
      <c r="CC12" s="4"/>
      <c r="CD12" s="7"/>
      <c r="CE12" s="4"/>
      <c r="CF12" s="7"/>
      <c r="CG12" s="4"/>
      <c r="CH12" s="7"/>
      <c r="CI12" s="4"/>
      <c r="CJ12" s="7"/>
      <c r="CK12" s="4"/>
      <c r="CL12" s="7"/>
      <c r="CM12" s="4"/>
      <c r="CN12" s="7"/>
      <c r="CO12" s="4"/>
      <c r="CP12" s="7"/>
      <c r="CQ12" s="4"/>
      <c r="CR12" s="7"/>
      <c r="CS12" s="4"/>
      <c r="CT12" s="7"/>
      <c r="CU12" s="4"/>
      <c r="CV12" s="7"/>
      <c r="CW12" s="4"/>
      <c r="CX12" s="7"/>
      <c r="CY12" s="4"/>
      <c r="CZ12" s="7"/>
      <c r="DA12" s="4"/>
      <c r="DB12" s="7"/>
      <c r="DC12" s="4"/>
      <c r="DD12" s="7"/>
      <c r="DE12" s="4"/>
      <c r="DF12" s="7"/>
      <c r="DG12" s="4"/>
      <c r="DH12" s="7"/>
      <c r="DI12" s="4"/>
      <c r="DJ12" s="7"/>
      <c r="DK12" s="4"/>
      <c r="DL12" s="7"/>
    </row>
    <row r="13" spans="1:116" ht="15" thickBot="1" x14ac:dyDescent="0.35">
      <c r="A13" s="2" t="s">
        <v>76</v>
      </c>
      <c r="B13" s="3" t="s">
        <v>77</v>
      </c>
      <c r="C13" s="3" t="s">
        <v>170</v>
      </c>
      <c r="D13" s="3" t="s">
        <v>111</v>
      </c>
      <c r="E13" s="3" t="s">
        <v>174</v>
      </c>
      <c r="F13" s="3" t="s">
        <v>121</v>
      </c>
      <c r="G13" s="3"/>
      <c r="H13" s="6">
        <f>SUMIF('Sunglasses BOM'!C11:C88,A13,'Sunglasses BOM'!E11:E88)</f>
        <v>8400</v>
      </c>
      <c r="I13" s="32">
        <f>_xlfn.XLOOKUP(A13,'Lens Assembly DPR - PP'!$A$4:$A$27,'Lens Assembly DPR - PP'!$I$4:$I$27)</f>
        <v>0</v>
      </c>
      <c r="J13" s="10">
        <f t="shared" si="49"/>
        <v>8400</v>
      </c>
      <c r="K13" s="42">
        <f>'Final Processes daily output'!$F$33</f>
        <v>29160</v>
      </c>
      <c r="L13" s="22">
        <f>_xlfn.XLOOKUP(A13,'Pad Printing DPR - PP'!$A$4:$A$27,'Pad Printing DPR - PP'!$I$4:$I$27)</f>
        <v>0</v>
      </c>
      <c r="M13" s="23">
        <f t="shared" si="50"/>
        <v>0</v>
      </c>
      <c r="N13" s="55">
        <f t="shared" si="51"/>
        <v>0.2880658436213992</v>
      </c>
      <c r="O13" s="4"/>
      <c r="P13" s="7"/>
      <c r="Q13" s="4"/>
      <c r="R13" s="7"/>
      <c r="S13" s="4"/>
      <c r="T13" s="7"/>
      <c r="U13" s="4"/>
      <c r="V13" s="7"/>
      <c r="W13" s="4"/>
      <c r="X13" s="7"/>
      <c r="Y13" s="4"/>
      <c r="Z13" s="7"/>
      <c r="AA13" s="4"/>
      <c r="AB13" s="7"/>
      <c r="AC13" s="4"/>
      <c r="AD13" s="7"/>
      <c r="AE13" s="4"/>
      <c r="AF13" s="7"/>
      <c r="AG13" s="4"/>
      <c r="AH13" s="7"/>
      <c r="AI13" s="4"/>
      <c r="AJ13" s="7"/>
      <c r="AK13" s="4"/>
      <c r="AL13" s="7"/>
      <c r="AM13" s="4"/>
      <c r="AN13" s="7"/>
      <c r="AO13" s="4"/>
      <c r="AP13" s="7"/>
      <c r="AQ13" s="4"/>
      <c r="AR13" s="7"/>
      <c r="AS13" s="4"/>
      <c r="AT13" s="7"/>
      <c r="AU13" s="4"/>
      <c r="AV13" s="7"/>
      <c r="AW13" s="4"/>
      <c r="AX13" s="7"/>
      <c r="AY13" s="4"/>
      <c r="AZ13" s="7"/>
      <c r="BA13" s="4"/>
      <c r="BB13" s="7"/>
      <c r="BC13" s="4"/>
      <c r="BD13" s="7"/>
      <c r="BE13" s="4"/>
      <c r="BF13" s="7"/>
      <c r="BG13" s="4"/>
      <c r="BH13" s="7"/>
      <c r="BI13" s="4"/>
      <c r="BJ13" s="7"/>
      <c r="BK13" s="4"/>
      <c r="BL13" s="7"/>
      <c r="BM13" s="4"/>
      <c r="BN13" s="7"/>
      <c r="BO13" s="4"/>
      <c r="BP13" s="7"/>
      <c r="BQ13" s="4"/>
      <c r="BR13" s="7"/>
      <c r="BS13" s="4"/>
      <c r="BT13" s="7"/>
      <c r="BU13" s="4"/>
      <c r="BV13" s="7"/>
      <c r="BW13" s="4"/>
      <c r="BX13" s="7"/>
      <c r="BY13" s="4"/>
      <c r="BZ13" s="7"/>
      <c r="CA13" s="4"/>
      <c r="CB13" s="7"/>
      <c r="CC13" s="4"/>
      <c r="CD13" s="7"/>
      <c r="CE13" s="4"/>
      <c r="CF13" s="7"/>
      <c r="CG13" s="4"/>
      <c r="CH13" s="7"/>
      <c r="CI13" s="4"/>
      <c r="CJ13" s="7"/>
      <c r="CK13" s="4"/>
      <c r="CL13" s="7"/>
      <c r="CM13" s="4"/>
      <c r="CN13" s="7"/>
      <c r="CO13" s="4"/>
      <c r="CP13" s="7"/>
      <c r="CQ13" s="4"/>
      <c r="CR13" s="7"/>
      <c r="CS13" s="4"/>
      <c r="CT13" s="7"/>
      <c r="CU13" s="4"/>
      <c r="CV13" s="7"/>
      <c r="CW13" s="4"/>
      <c r="CX13" s="7"/>
      <c r="CY13" s="4"/>
      <c r="CZ13" s="7"/>
      <c r="DA13" s="4"/>
      <c r="DB13" s="7"/>
      <c r="DC13" s="4"/>
      <c r="DD13" s="7"/>
      <c r="DE13" s="4"/>
      <c r="DF13" s="7"/>
      <c r="DG13" s="4"/>
      <c r="DH13" s="7"/>
      <c r="DI13" s="4"/>
      <c r="DJ13" s="7"/>
      <c r="DK13" s="4"/>
      <c r="DL13" s="7"/>
    </row>
    <row r="14" spans="1:116" ht="15" thickBot="1" x14ac:dyDescent="0.35">
      <c r="A14" s="2" t="s">
        <v>78</v>
      </c>
      <c r="B14" s="3" t="s">
        <v>79</v>
      </c>
      <c r="C14" s="3" t="s">
        <v>175</v>
      </c>
      <c r="D14" s="3" t="s">
        <v>122</v>
      </c>
      <c r="E14" s="3" t="s">
        <v>175</v>
      </c>
      <c r="F14" s="3" t="s">
        <v>122</v>
      </c>
      <c r="G14" s="3"/>
      <c r="H14" s="6">
        <f>SUMIF('Sunglasses BOM'!C12:C89,A14,'Sunglasses BOM'!E12:E89)</f>
        <v>8400</v>
      </c>
      <c r="I14" s="32">
        <f>_xlfn.XLOOKUP(A14,'Lens Assembly DPR - PP'!$A$4:$A$27,'Lens Assembly DPR - PP'!$I$4:$I$27)</f>
        <v>0</v>
      </c>
      <c r="J14" s="10">
        <f t="shared" si="49"/>
        <v>8400</v>
      </c>
      <c r="K14" s="42">
        <f>'Final Processes daily output'!$F$33</f>
        <v>29160</v>
      </c>
      <c r="L14" s="22">
        <f>_xlfn.XLOOKUP(A14,'Pad Printing DPR - PP'!$A$4:$A$27,'Pad Printing DPR - PP'!$I$4:$I$27)</f>
        <v>0</v>
      </c>
      <c r="M14" s="23">
        <f t="shared" si="50"/>
        <v>0</v>
      </c>
      <c r="N14" s="55">
        <f t="shared" si="51"/>
        <v>0.2880658436213992</v>
      </c>
      <c r="O14" s="4"/>
      <c r="P14" s="7"/>
      <c r="Q14" s="4"/>
      <c r="R14" s="7"/>
      <c r="S14" s="4"/>
      <c r="T14" s="7"/>
      <c r="U14" s="4"/>
      <c r="V14" s="7"/>
      <c r="W14" s="4"/>
      <c r="X14" s="7"/>
      <c r="Y14" s="4"/>
      <c r="Z14" s="7"/>
      <c r="AA14" s="4"/>
      <c r="AB14" s="7"/>
      <c r="AC14" s="4"/>
      <c r="AD14" s="7"/>
      <c r="AE14" s="4"/>
      <c r="AF14" s="7"/>
      <c r="AG14" s="4"/>
      <c r="AH14" s="7"/>
      <c r="AI14" s="4"/>
      <c r="AJ14" s="7"/>
      <c r="AK14" s="4"/>
      <c r="AL14" s="7"/>
      <c r="AM14" s="4"/>
      <c r="AN14" s="7"/>
      <c r="AO14" s="4"/>
      <c r="AP14" s="7"/>
      <c r="AQ14" s="4"/>
      <c r="AR14" s="7"/>
      <c r="AS14" s="4"/>
      <c r="AT14" s="7"/>
      <c r="AU14" s="4"/>
      <c r="AV14" s="7"/>
      <c r="AW14" s="4"/>
      <c r="AX14" s="7"/>
      <c r="AY14" s="4"/>
      <c r="AZ14" s="7"/>
      <c r="BA14" s="4"/>
      <c r="BB14" s="7"/>
      <c r="BC14" s="4"/>
      <c r="BD14" s="7"/>
      <c r="BE14" s="4"/>
      <c r="BF14" s="7"/>
      <c r="BG14" s="4"/>
      <c r="BH14" s="7"/>
      <c r="BI14" s="4"/>
      <c r="BJ14" s="7"/>
      <c r="BK14" s="4"/>
      <c r="BL14" s="7"/>
      <c r="BM14" s="4"/>
      <c r="BN14" s="7"/>
      <c r="BO14" s="4"/>
      <c r="BP14" s="7"/>
      <c r="BQ14" s="4"/>
      <c r="BR14" s="7"/>
      <c r="BS14" s="4"/>
      <c r="BT14" s="7"/>
      <c r="BU14" s="4"/>
      <c r="BV14" s="7"/>
      <c r="BW14" s="4"/>
      <c r="BX14" s="7"/>
      <c r="BY14" s="4"/>
      <c r="BZ14" s="7"/>
      <c r="CA14" s="4"/>
      <c r="CB14" s="7"/>
      <c r="CC14" s="4"/>
      <c r="CD14" s="7"/>
      <c r="CE14" s="4"/>
      <c r="CF14" s="7"/>
      <c r="CG14" s="4"/>
      <c r="CH14" s="7"/>
      <c r="CI14" s="4"/>
      <c r="CJ14" s="7"/>
      <c r="CK14" s="4"/>
      <c r="CL14" s="7"/>
      <c r="CM14" s="4"/>
      <c r="CN14" s="7"/>
      <c r="CO14" s="4"/>
      <c r="CP14" s="7"/>
      <c r="CQ14" s="4"/>
      <c r="CR14" s="7"/>
      <c r="CS14" s="4"/>
      <c r="CT14" s="7"/>
      <c r="CU14" s="4"/>
      <c r="CV14" s="7"/>
      <c r="CW14" s="4"/>
      <c r="CX14" s="7"/>
      <c r="CY14" s="4"/>
      <c r="CZ14" s="7"/>
      <c r="DA14" s="4"/>
      <c r="DB14" s="7"/>
      <c r="DC14" s="4"/>
      <c r="DD14" s="7"/>
      <c r="DE14" s="4"/>
      <c r="DF14" s="7"/>
      <c r="DG14" s="4"/>
      <c r="DH14" s="7"/>
      <c r="DI14" s="4"/>
      <c r="DJ14" s="7"/>
      <c r="DK14" s="4"/>
      <c r="DL14" s="7"/>
    </row>
    <row r="15" spans="1:116" ht="15" thickBot="1" x14ac:dyDescent="0.35">
      <c r="A15" s="2" t="s">
        <v>80</v>
      </c>
      <c r="B15" s="3" t="s">
        <v>81</v>
      </c>
      <c r="C15" s="3" t="s">
        <v>176</v>
      </c>
      <c r="D15" s="3" t="s">
        <v>115</v>
      </c>
      <c r="E15" s="3" t="s">
        <v>176</v>
      </c>
      <c r="F15" s="3" t="s">
        <v>115</v>
      </c>
      <c r="G15" s="3" t="s">
        <v>119</v>
      </c>
      <c r="H15" s="6">
        <f>SUMIF('Sunglasses BOM'!C13:C90,A15,'Sunglasses BOM'!E13:E90)</f>
        <v>16800</v>
      </c>
      <c r="I15" s="32">
        <f>_xlfn.XLOOKUP(A15,'Lens Assembly DPR - PP'!$A$4:$A$27,'Lens Assembly DPR - PP'!$I$4:$I$27)</f>
        <v>0</v>
      </c>
      <c r="J15" s="10">
        <f t="shared" si="49"/>
        <v>16800</v>
      </c>
      <c r="K15" s="42">
        <f>'Final Processes daily output'!$F$33</f>
        <v>29160</v>
      </c>
      <c r="L15" s="22">
        <f>_xlfn.XLOOKUP(A15,'Pad Printing DPR - PP'!$A$4:$A$27,'Pad Printing DPR - PP'!$I$4:$I$27)</f>
        <v>0</v>
      </c>
      <c r="M15" s="23">
        <f t="shared" si="50"/>
        <v>0</v>
      </c>
      <c r="N15" s="55">
        <f t="shared" si="51"/>
        <v>0.5761316872427984</v>
      </c>
      <c r="O15" s="4"/>
      <c r="P15" s="7"/>
      <c r="Q15" s="4"/>
      <c r="R15" s="7"/>
      <c r="S15" s="4"/>
      <c r="T15" s="7"/>
      <c r="U15" s="4"/>
      <c r="V15" s="7"/>
      <c r="W15" s="4"/>
      <c r="X15" s="7"/>
      <c r="Y15" s="4"/>
      <c r="Z15" s="7"/>
      <c r="AA15" s="4"/>
      <c r="AB15" s="7"/>
      <c r="AC15" s="4"/>
      <c r="AD15" s="7"/>
      <c r="AE15" s="4"/>
      <c r="AF15" s="7"/>
      <c r="AG15" s="4"/>
      <c r="AH15" s="7"/>
      <c r="AI15" s="4"/>
      <c r="AJ15" s="7"/>
      <c r="AK15" s="4"/>
      <c r="AL15" s="7"/>
      <c r="AM15" s="4"/>
      <c r="AN15" s="7"/>
      <c r="AO15" s="4"/>
      <c r="AP15" s="7"/>
      <c r="AQ15" s="4"/>
      <c r="AR15" s="7"/>
      <c r="AS15" s="4"/>
      <c r="AT15" s="7"/>
      <c r="AU15" s="4"/>
      <c r="AV15" s="7"/>
      <c r="AW15" s="4"/>
      <c r="AX15" s="7"/>
      <c r="AY15" s="4"/>
      <c r="AZ15" s="7"/>
      <c r="BA15" s="4"/>
      <c r="BB15" s="7"/>
      <c r="BC15" s="4"/>
      <c r="BD15" s="7"/>
      <c r="BE15" s="4"/>
      <c r="BF15" s="7"/>
      <c r="BG15" s="4"/>
      <c r="BH15" s="7"/>
      <c r="BI15" s="4"/>
      <c r="BJ15" s="7"/>
      <c r="BK15" s="4"/>
      <c r="BL15" s="7"/>
      <c r="BM15" s="4"/>
      <c r="BN15" s="7"/>
      <c r="BO15" s="4"/>
      <c r="BP15" s="7"/>
      <c r="BQ15" s="4"/>
      <c r="BR15" s="7"/>
      <c r="BS15" s="4"/>
      <c r="BT15" s="7"/>
      <c r="BU15" s="4"/>
      <c r="BV15" s="7"/>
      <c r="BW15" s="4"/>
      <c r="BX15" s="7"/>
      <c r="BY15" s="4"/>
      <c r="BZ15" s="7"/>
      <c r="CA15" s="4"/>
      <c r="CB15" s="7"/>
      <c r="CC15" s="4"/>
      <c r="CD15" s="7"/>
      <c r="CE15" s="4"/>
      <c r="CF15" s="7"/>
      <c r="CG15" s="4"/>
      <c r="CH15" s="7"/>
      <c r="CI15" s="4"/>
      <c r="CJ15" s="7"/>
      <c r="CK15" s="4"/>
      <c r="CL15" s="7"/>
      <c r="CM15" s="4"/>
      <c r="CN15" s="7"/>
      <c r="CO15" s="4"/>
      <c r="CP15" s="7"/>
      <c r="CQ15" s="4"/>
      <c r="CR15" s="7"/>
      <c r="CS15" s="4"/>
      <c r="CT15" s="7"/>
      <c r="CU15" s="4"/>
      <c r="CV15" s="7"/>
      <c r="CW15" s="4"/>
      <c r="CX15" s="7"/>
      <c r="CY15" s="4"/>
      <c r="CZ15" s="7"/>
      <c r="DA15" s="4"/>
      <c r="DB15" s="7"/>
      <c r="DC15" s="4"/>
      <c r="DD15" s="7"/>
      <c r="DE15" s="4"/>
      <c r="DF15" s="7"/>
      <c r="DG15" s="4"/>
      <c r="DH15" s="7"/>
      <c r="DI15" s="4"/>
      <c r="DJ15" s="7"/>
      <c r="DK15" s="4"/>
      <c r="DL15" s="7"/>
    </row>
    <row r="16" spans="1:116" ht="15" thickBot="1" x14ac:dyDescent="0.35">
      <c r="A16" s="2" t="s">
        <v>82</v>
      </c>
      <c r="B16" s="3" t="s">
        <v>83</v>
      </c>
      <c r="C16" s="3" t="s">
        <v>176</v>
      </c>
      <c r="D16" s="3" t="s">
        <v>115</v>
      </c>
      <c r="E16" s="3" t="s">
        <v>176</v>
      </c>
      <c r="F16" s="3" t="s">
        <v>115</v>
      </c>
      <c r="G16" s="3"/>
      <c r="H16" s="6">
        <f>SUMIF('Sunglasses BOM'!C14:C91,A16,'Sunglasses BOM'!E14:E91)</f>
        <v>25200</v>
      </c>
      <c r="I16" s="32">
        <f>_xlfn.XLOOKUP(A16,'Lens Assembly DPR - PP'!$A$4:$A$27,'Lens Assembly DPR - PP'!$I$4:$I$27)</f>
        <v>0</v>
      </c>
      <c r="J16" s="10">
        <f t="shared" si="49"/>
        <v>25200</v>
      </c>
      <c r="K16" s="42">
        <f>'Final Processes daily output'!$F$33</f>
        <v>29160</v>
      </c>
      <c r="L16" s="22">
        <f>_xlfn.XLOOKUP(A16,'Pad Printing DPR - PP'!$A$4:$A$27,'Pad Printing DPR - PP'!$I$4:$I$27)</f>
        <v>0</v>
      </c>
      <c r="M16" s="23">
        <f t="shared" si="50"/>
        <v>0</v>
      </c>
      <c r="N16" s="55">
        <f t="shared" si="51"/>
        <v>0.86419753086419748</v>
      </c>
      <c r="O16" s="4"/>
      <c r="P16" s="7"/>
      <c r="Q16" s="4"/>
      <c r="R16" s="7"/>
      <c r="S16" s="4"/>
      <c r="T16" s="7"/>
      <c r="U16" s="4"/>
      <c r="V16" s="7"/>
      <c r="W16" s="4"/>
      <c r="X16" s="7"/>
      <c r="Y16" s="4"/>
      <c r="Z16" s="7"/>
      <c r="AA16" s="4"/>
      <c r="AB16" s="7"/>
      <c r="AC16" s="4"/>
      <c r="AD16" s="7"/>
      <c r="AE16" s="4"/>
      <c r="AF16" s="7"/>
      <c r="AG16" s="4"/>
      <c r="AH16" s="7"/>
      <c r="AI16" s="4"/>
      <c r="AJ16" s="7"/>
      <c r="AK16" s="4"/>
      <c r="AL16" s="7"/>
      <c r="AM16" s="4"/>
      <c r="AN16" s="7"/>
      <c r="AO16" s="4"/>
      <c r="AP16" s="7"/>
      <c r="AQ16" s="4"/>
      <c r="AR16" s="7"/>
      <c r="AS16" s="4"/>
      <c r="AT16" s="7"/>
      <c r="AU16" s="4"/>
      <c r="AV16" s="7"/>
      <c r="AW16" s="4"/>
      <c r="AX16" s="7"/>
      <c r="AY16" s="4"/>
      <c r="AZ16" s="7"/>
      <c r="BA16" s="4"/>
      <c r="BB16" s="7"/>
      <c r="BC16" s="4"/>
      <c r="BD16" s="7"/>
      <c r="BE16" s="4"/>
      <c r="BF16" s="7"/>
      <c r="BG16" s="4"/>
      <c r="BH16" s="7"/>
      <c r="BI16" s="4"/>
      <c r="BJ16" s="7"/>
      <c r="BK16" s="4"/>
      <c r="BL16" s="7"/>
      <c r="BM16" s="4"/>
      <c r="BN16" s="7"/>
      <c r="BO16" s="4"/>
      <c r="BP16" s="7"/>
      <c r="BQ16" s="4"/>
      <c r="BR16" s="7"/>
      <c r="BS16" s="4"/>
      <c r="BT16" s="7"/>
      <c r="BU16" s="4"/>
      <c r="BV16" s="7"/>
      <c r="BW16" s="4"/>
      <c r="BX16" s="7"/>
      <c r="BY16" s="4"/>
      <c r="BZ16" s="7"/>
      <c r="CA16" s="4"/>
      <c r="CB16" s="7"/>
      <c r="CC16" s="4"/>
      <c r="CD16" s="7"/>
      <c r="CE16" s="4"/>
      <c r="CF16" s="7"/>
      <c r="CG16" s="4"/>
      <c r="CH16" s="7"/>
      <c r="CI16" s="4"/>
      <c r="CJ16" s="7"/>
      <c r="CK16" s="4"/>
      <c r="CL16" s="7"/>
      <c r="CM16" s="4"/>
      <c r="CN16" s="7"/>
      <c r="CO16" s="4"/>
      <c r="CP16" s="7"/>
      <c r="CQ16" s="4"/>
      <c r="CR16" s="7"/>
      <c r="CS16" s="4"/>
      <c r="CT16" s="7"/>
      <c r="CU16" s="4"/>
      <c r="CV16" s="7"/>
      <c r="CW16" s="4"/>
      <c r="CX16" s="7"/>
      <c r="CY16" s="4"/>
      <c r="CZ16" s="7"/>
      <c r="DA16" s="4"/>
      <c r="DB16" s="7"/>
      <c r="DC16" s="4"/>
      <c r="DD16" s="7"/>
      <c r="DE16" s="4"/>
      <c r="DF16" s="7"/>
      <c r="DG16" s="4"/>
      <c r="DH16" s="7"/>
      <c r="DI16" s="4"/>
      <c r="DJ16" s="7"/>
      <c r="DK16" s="4"/>
      <c r="DL16" s="7"/>
    </row>
    <row r="17" spans="1:116" ht="15" thickBot="1" x14ac:dyDescent="0.35">
      <c r="A17" s="2" t="s">
        <v>84</v>
      </c>
      <c r="B17" s="3" t="s">
        <v>85</v>
      </c>
      <c r="C17" s="3" t="s">
        <v>177</v>
      </c>
      <c r="D17" s="3" t="s">
        <v>123</v>
      </c>
      <c r="E17" s="3" t="s">
        <v>177</v>
      </c>
      <c r="F17" s="3" t="s">
        <v>123</v>
      </c>
      <c r="G17" s="3"/>
      <c r="H17" s="6">
        <f>SUMIF('Sunglasses BOM'!C15:C92,A17,'Sunglasses BOM'!E15:E92)</f>
        <v>25200</v>
      </c>
      <c r="I17" s="32">
        <f>_xlfn.XLOOKUP(A17,'Lens Assembly DPR - PP'!$A$4:$A$27,'Lens Assembly DPR - PP'!$I$4:$I$27)</f>
        <v>0</v>
      </c>
      <c r="J17" s="10">
        <f t="shared" si="49"/>
        <v>25200</v>
      </c>
      <c r="K17" s="42">
        <f>'Final Processes daily output'!$F$33</f>
        <v>29160</v>
      </c>
      <c r="L17" s="22">
        <f>_xlfn.XLOOKUP(A17,'Pad Printing DPR - PP'!$A$4:$A$27,'Pad Printing DPR - PP'!$I$4:$I$27)</f>
        <v>0</v>
      </c>
      <c r="M17" s="23">
        <f t="shared" si="50"/>
        <v>0</v>
      </c>
      <c r="N17" s="55">
        <f t="shared" si="51"/>
        <v>0.86419753086419748</v>
      </c>
      <c r="O17" s="4"/>
      <c r="P17" s="7"/>
      <c r="Q17" s="4"/>
      <c r="R17" s="7"/>
      <c r="S17" s="4"/>
      <c r="T17" s="7"/>
      <c r="U17" s="4"/>
      <c r="V17" s="7"/>
      <c r="W17" s="4"/>
      <c r="X17" s="7"/>
      <c r="Y17" s="4"/>
      <c r="Z17" s="7"/>
      <c r="AA17" s="4"/>
      <c r="AB17" s="7"/>
      <c r="AC17" s="4"/>
      <c r="AD17" s="7"/>
      <c r="AE17" s="4"/>
      <c r="AF17" s="7"/>
      <c r="AG17" s="4"/>
      <c r="AH17" s="7"/>
      <c r="AI17" s="4"/>
      <c r="AJ17" s="7"/>
      <c r="AK17" s="4"/>
      <c r="AL17" s="7"/>
      <c r="AM17" s="4"/>
      <c r="AN17" s="7"/>
      <c r="AO17" s="4"/>
      <c r="AP17" s="7"/>
      <c r="AQ17" s="4"/>
      <c r="AR17" s="7"/>
      <c r="AS17" s="4"/>
      <c r="AT17" s="7"/>
      <c r="AU17" s="4"/>
      <c r="AV17" s="7"/>
      <c r="AW17" s="4"/>
      <c r="AX17" s="7"/>
      <c r="AY17" s="4"/>
      <c r="AZ17" s="7"/>
      <c r="BA17" s="4"/>
      <c r="BB17" s="7"/>
      <c r="BC17" s="4"/>
      <c r="BD17" s="7"/>
      <c r="BE17" s="4"/>
      <c r="BF17" s="7"/>
      <c r="BG17" s="4"/>
      <c r="BH17" s="7"/>
      <c r="BI17" s="4"/>
      <c r="BJ17" s="7"/>
      <c r="BK17" s="4"/>
      <c r="BL17" s="7"/>
      <c r="BM17" s="4"/>
      <c r="BN17" s="7"/>
      <c r="BO17" s="4"/>
      <c r="BP17" s="7"/>
      <c r="BQ17" s="4"/>
      <c r="BR17" s="7"/>
      <c r="BS17" s="4"/>
      <c r="BT17" s="7"/>
      <c r="BU17" s="4"/>
      <c r="BV17" s="7"/>
      <c r="BW17" s="4"/>
      <c r="BX17" s="7"/>
      <c r="BY17" s="4"/>
      <c r="BZ17" s="7"/>
      <c r="CA17" s="4"/>
      <c r="CB17" s="7"/>
      <c r="CC17" s="4"/>
      <c r="CD17" s="7"/>
      <c r="CE17" s="4"/>
      <c r="CF17" s="7"/>
      <c r="CG17" s="4"/>
      <c r="CH17" s="7"/>
      <c r="CI17" s="4"/>
      <c r="CJ17" s="7"/>
      <c r="CK17" s="4"/>
      <c r="CL17" s="7"/>
      <c r="CM17" s="4"/>
      <c r="CN17" s="7"/>
      <c r="CO17" s="4"/>
      <c r="CP17" s="7"/>
      <c r="CQ17" s="4"/>
      <c r="CR17" s="7"/>
      <c r="CS17" s="4"/>
      <c r="CT17" s="7"/>
      <c r="CU17" s="4"/>
      <c r="CV17" s="7"/>
      <c r="CW17" s="4"/>
      <c r="CX17" s="7"/>
      <c r="CY17" s="4"/>
      <c r="CZ17" s="7"/>
      <c r="DA17" s="4"/>
      <c r="DB17" s="7"/>
      <c r="DC17" s="4"/>
      <c r="DD17" s="7"/>
      <c r="DE17" s="4"/>
      <c r="DF17" s="7"/>
      <c r="DG17" s="4"/>
      <c r="DH17" s="7"/>
      <c r="DI17" s="4"/>
      <c r="DJ17" s="7"/>
      <c r="DK17" s="4"/>
      <c r="DL17" s="7"/>
    </row>
    <row r="18" spans="1:116" ht="15" thickBot="1" x14ac:dyDescent="0.35">
      <c r="A18" s="2" t="s">
        <v>86</v>
      </c>
      <c r="B18" s="3" t="s">
        <v>87</v>
      </c>
      <c r="C18" s="3" t="s">
        <v>113</v>
      </c>
      <c r="D18" s="3" t="s">
        <v>113</v>
      </c>
      <c r="E18" s="3" t="s">
        <v>171</v>
      </c>
      <c r="F18" s="3" t="s">
        <v>112</v>
      </c>
      <c r="G18" s="3"/>
      <c r="H18" s="6">
        <f>SUMIF('Sunglasses BOM'!C16:C93,A18,'Sunglasses BOM'!E16:E93)</f>
        <v>33600</v>
      </c>
      <c r="I18" s="32">
        <f>_xlfn.XLOOKUP(A18,'Lens Assembly DPR - PP'!$A$4:$A$27,'Lens Assembly DPR - PP'!$I$4:$I$27)</f>
        <v>0</v>
      </c>
      <c r="J18" s="10">
        <f t="shared" si="49"/>
        <v>33600</v>
      </c>
      <c r="K18" s="42">
        <f>'Final Processes daily output'!$F$33</f>
        <v>29160</v>
      </c>
      <c r="L18" s="22">
        <f>_xlfn.XLOOKUP(A18,'Pad Printing DPR - PP'!$A$4:$A$27,'Pad Printing DPR - PP'!$I$4:$I$27)</f>
        <v>0</v>
      </c>
      <c r="M18" s="23">
        <f t="shared" si="50"/>
        <v>0</v>
      </c>
      <c r="N18" s="55">
        <f t="shared" si="51"/>
        <v>1.1522633744855968</v>
      </c>
      <c r="O18" s="4"/>
      <c r="P18" s="7"/>
      <c r="Q18" s="4"/>
      <c r="R18" s="7"/>
      <c r="S18" s="4"/>
      <c r="T18" s="7"/>
      <c r="U18" s="4"/>
      <c r="V18" s="7"/>
      <c r="W18" s="4"/>
      <c r="X18" s="7"/>
      <c r="Y18" s="4"/>
      <c r="Z18" s="7"/>
      <c r="AA18" s="4"/>
      <c r="AB18" s="7"/>
      <c r="AC18" s="4"/>
      <c r="AD18" s="7"/>
      <c r="AE18" s="4"/>
      <c r="AF18" s="7"/>
      <c r="AG18" s="4"/>
      <c r="AH18" s="7"/>
      <c r="AI18" s="4"/>
      <c r="AJ18" s="7"/>
      <c r="AK18" s="4"/>
      <c r="AL18" s="7"/>
      <c r="AM18" s="4"/>
      <c r="AN18" s="7"/>
      <c r="AO18" s="4"/>
      <c r="AP18" s="7"/>
      <c r="AQ18" s="4"/>
      <c r="AR18" s="7"/>
      <c r="AS18" s="4"/>
      <c r="AT18" s="7"/>
      <c r="AU18" s="4"/>
      <c r="AV18" s="7"/>
      <c r="AW18" s="4"/>
      <c r="AX18" s="7"/>
      <c r="AY18" s="4"/>
      <c r="AZ18" s="7"/>
      <c r="BA18" s="4"/>
      <c r="BB18" s="7"/>
      <c r="BC18" s="4"/>
      <c r="BD18" s="7"/>
      <c r="BE18" s="4"/>
      <c r="BF18" s="7"/>
      <c r="BG18" s="4"/>
      <c r="BH18" s="7"/>
      <c r="BI18" s="4"/>
      <c r="BJ18" s="7"/>
      <c r="BK18" s="4"/>
      <c r="BL18" s="7"/>
      <c r="BM18" s="4"/>
      <c r="BN18" s="7"/>
      <c r="BO18" s="4"/>
      <c r="BP18" s="7"/>
      <c r="BQ18" s="4"/>
      <c r="BR18" s="7"/>
      <c r="BS18" s="4"/>
      <c r="BT18" s="7"/>
      <c r="BU18" s="4"/>
      <c r="BV18" s="7"/>
      <c r="BW18" s="4"/>
      <c r="BX18" s="7"/>
      <c r="BY18" s="4"/>
      <c r="BZ18" s="7"/>
      <c r="CA18" s="4"/>
      <c r="CB18" s="7"/>
      <c r="CC18" s="4"/>
      <c r="CD18" s="7"/>
      <c r="CE18" s="4"/>
      <c r="CF18" s="7"/>
      <c r="CG18" s="4"/>
      <c r="CH18" s="7"/>
      <c r="CI18" s="4"/>
      <c r="CJ18" s="7"/>
      <c r="CK18" s="4"/>
      <c r="CL18" s="7"/>
      <c r="CM18" s="4"/>
      <c r="CN18" s="7"/>
      <c r="CO18" s="4"/>
      <c r="CP18" s="7"/>
      <c r="CQ18" s="4"/>
      <c r="CR18" s="7"/>
      <c r="CS18" s="4"/>
      <c r="CT18" s="7"/>
      <c r="CU18" s="4"/>
      <c r="CV18" s="7"/>
      <c r="CW18" s="4"/>
      <c r="CX18" s="7"/>
      <c r="CY18" s="4"/>
      <c r="CZ18" s="7"/>
      <c r="DA18" s="4"/>
      <c r="DB18" s="7"/>
      <c r="DC18" s="4"/>
      <c r="DD18" s="7"/>
      <c r="DE18" s="4"/>
      <c r="DF18" s="7"/>
      <c r="DG18" s="4"/>
      <c r="DH18" s="7"/>
      <c r="DI18" s="4"/>
      <c r="DJ18" s="7"/>
      <c r="DK18" s="4"/>
      <c r="DL18" s="7"/>
    </row>
    <row r="19" spans="1:116" ht="15" thickBot="1" x14ac:dyDescent="0.35">
      <c r="A19" s="2" t="s">
        <v>88</v>
      </c>
      <c r="B19" s="3" t="s">
        <v>89</v>
      </c>
      <c r="C19" s="3" t="s">
        <v>113</v>
      </c>
      <c r="D19" s="3" t="s">
        <v>113</v>
      </c>
      <c r="E19" s="3" t="s">
        <v>173</v>
      </c>
      <c r="F19" s="3" t="s">
        <v>116</v>
      </c>
      <c r="G19" s="3"/>
      <c r="H19" s="6">
        <f>SUMIF('Sunglasses BOM'!C17:C94,A19,'Sunglasses BOM'!E17:E94)</f>
        <v>16800</v>
      </c>
      <c r="I19" s="32">
        <f>_xlfn.XLOOKUP(A19,'Lens Assembly DPR - PP'!$A$4:$A$27,'Lens Assembly DPR - PP'!$I$4:$I$27)</f>
        <v>0</v>
      </c>
      <c r="J19" s="10">
        <f t="shared" si="49"/>
        <v>16800</v>
      </c>
      <c r="K19" s="42">
        <f>'Final Processes daily output'!$F$33</f>
        <v>29160</v>
      </c>
      <c r="L19" s="22">
        <f>_xlfn.XLOOKUP(A19,'Pad Printing DPR - PP'!$A$4:$A$27,'Pad Printing DPR - PP'!$I$4:$I$27)</f>
        <v>0</v>
      </c>
      <c r="M19" s="23">
        <f t="shared" si="50"/>
        <v>0</v>
      </c>
      <c r="N19" s="55">
        <f t="shared" si="51"/>
        <v>0.5761316872427984</v>
      </c>
      <c r="O19" s="4"/>
      <c r="P19" s="7"/>
      <c r="Q19" s="4"/>
      <c r="R19" s="7"/>
      <c r="S19" s="4"/>
      <c r="T19" s="7"/>
      <c r="U19" s="4"/>
      <c r="V19" s="7"/>
      <c r="W19" s="4"/>
      <c r="X19" s="7"/>
      <c r="Y19" s="4"/>
      <c r="Z19" s="7"/>
      <c r="AA19" s="4"/>
      <c r="AB19" s="7"/>
      <c r="AC19" s="4"/>
      <c r="AD19" s="7"/>
      <c r="AE19" s="4"/>
      <c r="AF19" s="7"/>
      <c r="AG19" s="4"/>
      <c r="AH19" s="7"/>
      <c r="AI19" s="4"/>
      <c r="AJ19" s="7"/>
      <c r="AK19" s="4"/>
      <c r="AL19" s="7"/>
      <c r="AM19" s="4"/>
      <c r="AN19" s="7"/>
      <c r="AO19" s="4"/>
      <c r="AP19" s="7"/>
      <c r="AQ19" s="4"/>
      <c r="AR19" s="7"/>
      <c r="AS19" s="4"/>
      <c r="AT19" s="7"/>
      <c r="AU19" s="4"/>
      <c r="AV19" s="7"/>
      <c r="AW19" s="4"/>
      <c r="AX19" s="7"/>
      <c r="AY19" s="4"/>
      <c r="AZ19" s="7"/>
      <c r="BA19" s="4"/>
      <c r="BB19" s="7"/>
      <c r="BC19" s="4"/>
      <c r="BD19" s="7"/>
      <c r="BE19" s="4"/>
      <c r="BF19" s="7"/>
      <c r="BG19" s="4"/>
      <c r="BH19" s="7"/>
      <c r="BI19" s="4"/>
      <c r="BJ19" s="7"/>
      <c r="BK19" s="4"/>
      <c r="BL19" s="7"/>
      <c r="BM19" s="4"/>
      <c r="BN19" s="7"/>
      <c r="BO19" s="4"/>
      <c r="BP19" s="7"/>
      <c r="BQ19" s="4"/>
      <c r="BR19" s="7"/>
      <c r="BS19" s="4"/>
      <c r="BT19" s="7"/>
      <c r="BU19" s="4"/>
      <c r="BV19" s="7"/>
      <c r="BW19" s="4"/>
      <c r="BX19" s="7"/>
      <c r="BY19" s="4"/>
      <c r="BZ19" s="7"/>
      <c r="CA19" s="4"/>
      <c r="CB19" s="7"/>
      <c r="CC19" s="4"/>
      <c r="CD19" s="7"/>
      <c r="CE19" s="4"/>
      <c r="CF19" s="7"/>
      <c r="CG19" s="4"/>
      <c r="CH19" s="7"/>
      <c r="CI19" s="4"/>
      <c r="CJ19" s="7"/>
      <c r="CK19" s="4"/>
      <c r="CL19" s="7"/>
      <c r="CM19" s="4"/>
      <c r="CN19" s="7"/>
      <c r="CO19" s="4"/>
      <c r="CP19" s="7"/>
      <c r="CQ19" s="4"/>
      <c r="CR19" s="7"/>
      <c r="CS19" s="4"/>
      <c r="CT19" s="7"/>
      <c r="CU19" s="4"/>
      <c r="CV19" s="7"/>
      <c r="CW19" s="4"/>
      <c r="CX19" s="7"/>
      <c r="CY19" s="4"/>
      <c r="CZ19" s="7"/>
      <c r="DA19" s="4"/>
      <c r="DB19" s="7"/>
      <c r="DC19" s="4"/>
      <c r="DD19" s="7"/>
      <c r="DE19" s="4"/>
      <c r="DF19" s="7"/>
      <c r="DG19" s="4"/>
      <c r="DH19" s="7"/>
      <c r="DI19" s="4"/>
      <c r="DJ19" s="7"/>
      <c r="DK19" s="4"/>
      <c r="DL19" s="7"/>
    </row>
    <row r="20" spans="1:116" ht="15" thickBot="1" x14ac:dyDescent="0.35">
      <c r="A20" s="2" t="s">
        <v>90</v>
      </c>
      <c r="B20" s="3" t="s">
        <v>91</v>
      </c>
      <c r="C20" s="3" t="s">
        <v>159</v>
      </c>
      <c r="D20" s="3" t="s">
        <v>113</v>
      </c>
      <c r="E20" s="3" t="s">
        <v>159</v>
      </c>
      <c r="F20" s="3" t="s">
        <v>113</v>
      </c>
      <c r="G20" s="3"/>
      <c r="H20" s="6">
        <f>SUMIF('Sunglasses BOM'!C18:C95,A20,'Sunglasses BOM'!E18:E95)</f>
        <v>50400</v>
      </c>
      <c r="I20" s="32">
        <f>_xlfn.XLOOKUP(A20,'Lens Assembly DPR - PP'!$A$4:$A$27,'Lens Assembly DPR - PP'!$I$4:$I$27)</f>
        <v>0</v>
      </c>
      <c r="J20" s="10">
        <f t="shared" si="49"/>
        <v>50400</v>
      </c>
      <c r="K20" s="42">
        <f>'Final Processes daily output'!$F$33</f>
        <v>29160</v>
      </c>
      <c r="L20" s="22">
        <f>_xlfn.XLOOKUP(A20,'Pad Printing DPR - PP'!$A$4:$A$27,'Pad Printing DPR - PP'!$I$4:$I$27)</f>
        <v>0</v>
      </c>
      <c r="M20" s="23">
        <f t="shared" si="50"/>
        <v>0</v>
      </c>
      <c r="N20" s="55">
        <f t="shared" si="51"/>
        <v>1.728395061728395</v>
      </c>
      <c r="O20" s="4"/>
      <c r="P20" s="7"/>
      <c r="Q20" s="4"/>
      <c r="R20" s="7"/>
      <c r="S20" s="4"/>
      <c r="T20" s="7"/>
      <c r="U20" s="4"/>
      <c r="V20" s="7"/>
      <c r="W20" s="4"/>
      <c r="X20" s="7"/>
      <c r="Y20" s="4"/>
      <c r="Z20" s="7"/>
      <c r="AA20" s="4"/>
      <c r="AB20" s="7"/>
      <c r="AC20" s="4"/>
      <c r="AD20" s="7"/>
      <c r="AE20" s="4"/>
      <c r="AF20" s="7"/>
      <c r="AG20" s="4"/>
      <c r="AH20" s="7"/>
      <c r="AI20" s="4"/>
      <c r="AJ20" s="7"/>
      <c r="AK20" s="4"/>
      <c r="AL20" s="7"/>
      <c r="AM20" s="4"/>
      <c r="AN20" s="7"/>
      <c r="AO20" s="4"/>
      <c r="AP20" s="7"/>
      <c r="AQ20" s="4"/>
      <c r="AR20" s="7"/>
      <c r="AS20" s="4"/>
      <c r="AT20" s="7"/>
      <c r="AU20" s="4"/>
      <c r="AV20" s="7"/>
      <c r="AW20" s="4"/>
      <c r="AX20" s="7"/>
      <c r="AY20" s="4"/>
      <c r="AZ20" s="7"/>
      <c r="BA20" s="4"/>
      <c r="BB20" s="7"/>
      <c r="BC20" s="4"/>
      <c r="BD20" s="7"/>
      <c r="BE20" s="4"/>
      <c r="BF20" s="7"/>
      <c r="BG20" s="4"/>
      <c r="BH20" s="7"/>
      <c r="BI20" s="4"/>
      <c r="BJ20" s="7"/>
      <c r="BK20" s="4"/>
      <c r="BL20" s="7"/>
      <c r="BM20" s="4"/>
      <c r="BN20" s="7"/>
      <c r="BO20" s="4"/>
      <c r="BP20" s="7"/>
      <c r="BQ20" s="4"/>
      <c r="BR20" s="7"/>
      <c r="BS20" s="4"/>
      <c r="BT20" s="7"/>
      <c r="BU20" s="4"/>
      <c r="BV20" s="7"/>
      <c r="BW20" s="4"/>
      <c r="BX20" s="7"/>
      <c r="BY20" s="4"/>
      <c r="BZ20" s="7"/>
      <c r="CA20" s="4"/>
      <c r="CB20" s="7"/>
      <c r="CC20" s="4"/>
      <c r="CD20" s="7"/>
      <c r="CE20" s="4"/>
      <c r="CF20" s="7"/>
      <c r="CG20" s="4"/>
      <c r="CH20" s="7"/>
      <c r="CI20" s="4"/>
      <c r="CJ20" s="7"/>
      <c r="CK20" s="4"/>
      <c r="CL20" s="7"/>
      <c r="CM20" s="4"/>
      <c r="CN20" s="7"/>
      <c r="CO20" s="4"/>
      <c r="CP20" s="7"/>
      <c r="CQ20" s="4"/>
      <c r="CR20" s="7"/>
      <c r="CS20" s="4"/>
      <c r="CT20" s="7"/>
      <c r="CU20" s="4"/>
      <c r="CV20" s="7"/>
      <c r="CW20" s="4"/>
      <c r="CX20" s="7"/>
      <c r="CY20" s="4"/>
      <c r="CZ20" s="7"/>
      <c r="DA20" s="4"/>
      <c r="DB20" s="7"/>
      <c r="DC20" s="4"/>
      <c r="DD20" s="7"/>
      <c r="DE20" s="4"/>
      <c r="DF20" s="7"/>
      <c r="DG20" s="4"/>
      <c r="DH20" s="7"/>
      <c r="DI20" s="4"/>
      <c r="DJ20" s="7"/>
      <c r="DK20" s="4"/>
      <c r="DL20" s="7"/>
    </row>
    <row r="21" spans="1:116" ht="15" thickBot="1" x14ac:dyDescent="0.35">
      <c r="A21" s="2" t="s">
        <v>92</v>
      </c>
      <c r="B21" s="3" t="s">
        <v>93</v>
      </c>
      <c r="C21" s="3" t="s">
        <v>159</v>
      </c>
      <c r="D21" s="3" t="s">
        <v>113</v>
      </c>
      <c r="E21" s="3" t="s">
        <v>159</v>
      </c>
      <c r="F21" s="3" t="s">
        <v>113</v>
      </c>
      <c r="G21" s="3"/>
      <c r="H21" s="6">
        <f>SUMIF('Sunglasses BOM'!C19:C96,A21,'Sunglasses BOM'!E19:E96)</f>
        <v>50400</v>
      </c>
      <c r="I21" s="32">
        <f>_xlfn.XLOOKUP(A21,'Lens Assembly DPR - PP'!$A$4:$A$27,'Lens Assembly DPR - PP'!$I$4:$I$27)</f>
        <v>0</v>
      </c>
      <c r="J21" s="10">
        <f t="shared" si="49"/>
        <v>50400</v>
      </c>
      <c r="K21" s="42">
        <f>'Final Processes daily output'!$F$33</f>
        <v>29160</v>
      </c>
      <c r="L21" s="22">
        <f>_xlfn.XLOOKUP(A21,'Pad Printing DPR - PP'!$A$4:$A$27,'Pad Printing DPR - PP'!$I$4:$I$27)</f>
        <v>0</v>
      </c>
      <c r="M21" s="23">
        <f t="shared" si="50"/>
        <v>0</v>
      </c>
      <c r="N21" s="55">
        <f t="shared" si="51"/>
        <v>1.728395061728395</v>
      </c>
      <c r="O21" s="4"/>
      <c r="P21" s="7"/>
      <c r="Q21" s="4"/>
      <c r="R21" s="7"/>
      <c r="S21" s="4"/>
      <c r="T21" s="7"/>
      <c r="U21" s="4"/>
      <c r="V21" s="7"/>
      <c r="W21" s="4"/>
      <c r="X21" s="7"/>
      <c r="Y21" s="4"/>
      <c r="Z21" s="7"/>
      <c r="AA21" s="4"/>
      <c r="AB21" s="7"/>
      <c r="AC21" s="4"/>
      <c r="AD21" s="7"/>
      <c r="AE21" s="4"/>
      <c r="AF21" s="7"/>
      <c r="AG21" s="4"/>
      <c r="AH21" s="7"/>
      <c r="AI21" s="4"/>
      <c r="AJ21" s="7"/>
      <c r="AK21" s="4"/>
      <c r="AL21" s="7"/>
      <c r="AM21" s="4"/>
      <c r="AN21" s="7"/>
      <c r="AO21" s="4"/>
      <c r="AP21" s="7"/>
      <c r="AQ21" s="4"/>
      <c r="AR21" s="7"/>
      <c r="AS21" s="4"/>
      <c r="AT21" s="7"/>
      <c r="AU21" s="4"/>
      <c r="AV21" s="7"/>
      <c r="AW21" s="4"/>
      <c r="AX21" s="7"/>
      <c r="AY21" s="4"/>
      <c r="AZ21" s="7"/>
      <c r="BA21" s="4"/>
      <c r="BB21" s="7"/>
      <c r="BC21" s="4"/>
      <c r="BD21" s="7"/>
      <c r="BE21" s="4"/>
      <c r="BF21" s="7"/>
      <c r="BG21" s="4"/>
      <c r="BH21" s="7"/>
      <c r="BI21" s="4"/>
      <c r="BJ21" s="7"/>
      <c r="BK21" s="4"/>
      <c r="BL21" s="7"/>
      <c r="BM21" s="4"/>
      <c r="BN21" s="7"/>
      <c r="BO21" s="4"/>
      <c r="BP21" s="7"/>
      <c r="BQ21" s="4"/>
      <c r="BR21" s="7"/>
      <c r="BS21" s="4"/>
      <c r="BT21" s="7"/>
      <c r="BU21" s="4"/>
      <c r="BV21" s="7"/>
      <c r="BW21" s="4"/>
      <c r="BX21" s="7"/>
      <c r="BY21" s="4"/>
      <c r="BZ21" s="7"/>
      <c r="CA21" s="4"/>
      <c r="CB21" s="7"/>
      <c r="CC21" s="4"/>
      <c r="CD21" s="7"/>
      <c r="CE21" s="4"/>
      <c r="CF21" s="7"/>
      <c r="CG21" s="4"/>
      <c r="CH21" s="7"/>
      <c r="CI21" s="4"/>
      <c r="CJ21" s="7"/>
      <c r="CK21" s="4"/>
      <c r="CL21" s="7"/>
      <c r="CM21" s="4"/>
      <c r="CN21" s="7"/>
      <c r="CO21" s="4"/>
      <c r="CP21" s="7"/>
      <c r="CQ21" s="4"/>
      <c r="CR21" s="7"/>
      <c r="CS21" s="4"/>
      <c r="CT21" s="7"/>
      <c r="CU21" s="4"/>
      <c r="CV21" s="7"/>
      <c r="CW21" s="4"/>
      <c r="CX21" s="7"/>
      <c r="CY21" s="4"/>
      <c r="CZ21" s="7"/>
      <c r="DA21" s="4"/>
      <c r="DB21" s="7"/>
      <c r="DC21" s="4"/>
      <c r="DD21" s="7"/>
      <c r="DE21" s="4"/>
      <c r="DF21" s="7"/>
      <c r="DG21" s="4"/>
      <c r="DH21" s="7"/>
      <c r="DI21" s="4"/>
      <c r="DJ21" s="7"/>
      <c r="DK21" s="4"/>
      <c r="DL21" s="7"/>
    </row>
    <row r="22" spans="1:116" ht="15" thickBot="1" x14ac:dyDescent="0.35">
      <c r="A22" s="2" t="s">
        <v>94</v>
      </c>
      <c r="B22" s="3" t="s">
        <v>95</v>
      </c>
      <c r="C22" s="3" t="s">
        <v>159</v>
      </c>
      <c r="D22" s="3" t="s">
        <v>113</v>
      </c>
      <c r="E22" s="3" t="s">
        <v>159</v>
      </c>
      <c r="F22" s="3" t="s">
        <v>113</v>
      </c>
      <c r="G22" s="3"/>
      <c r="H22" s="6">
        <f>SUMIF('Sunglasses BOM'!C20:C97,A22,'Sunglasses BOM'!E20:E97)</f>
        <v>8400</v>
      </c>
      <c r="I22" s="32">
        <f>_xlfn.XLOOKUP(A22,'Lens Assembly DPR - PP'!$A$4:$A$27,'Lens Assembly DPR - PP'!$I$4:$I$27)</f>
        <v>0</v>
      </c>
      <c r="J22" s="10">
        <f t="shared" si="49"/>
        <v>8400</v>
      </c>
      <c r="K22" s="42">
        <f>'Final Processes daily output'!$F$33</f>
        <v>29160</v>
      </c>
      <c r="L22" s="22">
        <f>_xlfn.XLOOKUP(A22,'Pad Printing DPR - PP'!$A$4:$A$27,'Pad Printing DPR - PP'!$I$4:$I$27)</f>
        <v>0</v>
      </c>
      <c r="M22" s="23">
        <f t="shared" si="50"/>
        <v>0</v>
      </c>
      <c r="N22" s="55">
        <f t="shared" si="51"/>
        <v>0.2880658436213992</v>
      </c>
      <c r="O22" s="4"/>
      <c r="P22" s="7"/>
      <c r="Q22" s="4"/>
      <c r="R22" s="7"/>
      <c r="S22" s="4"/>
      <c r="T22" s="7"/>
      <c r="U22" s="4"/>
      <c r="V22" s="7"/>
      <c r="W22" s="4"/>
      <c r="X22" s="7"/>
      <c r="Y22" s="4"/>
      <c r="Z22" s="7"/>
      <c r="AA22" s="4"/>
      <c r="AB22" s="7"/>
      <c r="AC22" s="4"/>
      <c r="AD22" s="7"/>
      <c r="AE22" s="4"/>
      <c r="AF22" s="7"/>
      <c r="AG22" s="4"/>
      <c r="AH22" s="7"/>
      <c r="AI22" s="4"/>
      <c r="AJ22" s="7"/>
      <c r="AK22" s="4"/>
      <c r="AL22" s="7"/>
      <c r="AM22" s="4"/>
      <c r="AN22" s="7"/>
      <c r="AO22" s="4"/>
      <c r="AP22" s="7"/>
      <c r="AQ22" s="4"/>
      <c r="AR22" s="7"/>
      <c r="AS22" s="4"/>
      <c r="AT22" s="7"/>
      <c r="AU22" s="4"/>
      <c r="AV22" s="7"/>
      <c r="AW22" s="4"/>
      <c r="AX22" s="7"/>
      <c r="AY22" s="4"/>
      <c r="AZ22" s="7"/>
      <c r="BA22" s="4"/>
      <c r="BB22" s="7"/>
      <c r="BC22" s="4"/>
      <c r="BD22" s="7"/>
      <c r="BE22" s="4"/>
      <c r="BF22" s="7"/>
      <c r="BG22" s="4"/>
      <c r="BH22" s="7"/>
      <c r="BI22" s="4"/>
      <c r="BJ22" s="7"/>
      <c r="BK22" s="4"/>
      <c r="BL22" s="7"/>
      <c r="BM22" s="4"/>
      <c r="BN22" s="7"/>
      <c r="BO22" s="4"/>
      <c r="BP22" s="7"/>
      <c r="BQ22" s="4"/>
      <c r="BR22" s="7"/>
      <c r="BS22" s="4"/>
      <c r="BT22" s="7"/>
      <c r="BU22" s="4"/>
      <c r="BV22" s="7"/>
      <c r="BW22" s="4"/>
      <c r="BX22" s="7"/>
      <c r="BY22" s="4"/>
      <c r="BZ22" s="7"/>
      <c r="CA22" s="4"/>
      <c r="CB22" s="7"/>
      <c r="CC22" s="4"/>
      <c r="CD22" s="7"/>
      <c r="CE22" s="4"/>
      <c r="CF22" s="7"/>
      <c r="CG22" s="4"/>
      <c r="CH22" s="7"/>
      <c r="CI22" s="4"/>
      <c r="CJ22" s="7"/>
      <c r="CK22" s="4"/>
      <c r="CL22" s="7"/>
      <c r="CM22" s="4"/>
      <c r="CN22" s="7"/>
      <c r="CO22" s="4"/>
      <c r="CP22" s="7"/>
      <c r="CQ22" s="4"/>
      <c r="CR22" s="7"/>
      <c r="CS22" s="4"/>
      <c r="CT22" s="7"/>
      <c r="CU22" s="4"/>
      <c r="CV22" s="7"/>
      <c r="CW22" s="4"/>
      <c r="CX22" s="7"/>
      <c r="CY22" s="4"/>
      <c r="CZ22" s="7"/>
      <c r="DA22" s="4"/>
      <c r="DB22" s="7"/>
      <c r="DC22" s="4"/>
      <c r="DD22" s="7"/>
      <c r="DE22" s="4"/>
      <c r="DF22" s="7"/>
      <c r="DG22" s="4"/>
      <c r="DH22" s="7"/>
      <c r="DI22" s="4"/>
      <c r="DJ22" s="7"/>
      <c r="DK22" s="4"/>
      <c r="DL22" s="7"/>
    </row>
    <row r="23" spans="1:116" ht="15" thickBot="1" x14ac:dyDescent="0.35">
      <c r="A23" s="2" t="s">
        <v>96</v>
      </c>
      <c r="B23" s="3" t="s">
        <v>97</v>
      </c>
      <c r="C23" s="3" t="s">
        <v>159</v>
      </c>
      <c r="D23" s="3" t="s">
        <v>113</v>
      </c>
      <c r="E23" s="3" t="s">
        <v>159</v>
      </c>
      <c r="F23" s="3" t="s">
        <v>113</v>
      </c>
      <c r="G23" s="3"/>
      <c r="H23" s="6">
        <f>SUMIF('Sunglasses BOM'!C21:C98,A23,'Sunglasses BOM'!E21:E98)</f>
        <v>16800</v>
      </c>
      <c r="I23" s="32">
        <f>_xlfn.XLOOKUP(A23,'Lens Assembly DPR - PP'!$A$4:$A$27,'Lens Assembly DPR - PP'!$I$4:$I$27)</f>
        <v>0</v>
      </c>
      <c r="J23" s="10">
        <f t="shared" si="49"/>
        <v>16800</v>
      </c>
      <c r="K23" s="42">
        <f>'Final Processes daily output'!$F$33</f>
        <v>29160</v>
      </c>
      <c r="L23" s="22">
        <f>_xlfn.XLOOKUP(A23,'Pad Printing DPR - PP'!$A$4:$A$27,'Pad Printing DPR - PP'!$I$4:$I$27)</f>
        <v>0</v>
      </c>
      <c r="M23" s="23">
        <f t="shared" si="50"/>
        <v>0</v>
      </c>
      <c r="N23" s="55">
        <f t="shared" si="51"/>
        <v>0.5761316872427984</v>
      </c>
      <c r="O23" s="4"/>
      <c r="P23" s="7"/>
      <c r="Q23" s="4"/>
      <c r="R23" s="7"/>
      <c r="S23" s="4"/>
      <c r="T23" s="7"/>
      <c r="U23" s="4"/>
      <c r="V23" s="7"/>
      <c r="W23" s="4"/>
      <c r="X23" s="7"/>
      <c r="Y23" s="4"/>
      <c r="Z23" s="7"/>
      <c r="AA23" s="4"/>
      <c r="AB23" s="7"/>
      <c r="AC23" s="4"/>
      <c r="AD23" s="7"/>
      <c r="AE23" s="4"/>
      <c r="AF23" s="7"/>
      <c r="AG23" s="4"/>
      <c r="AH23" s="7"/>
      <c r="AI23" s="4"/>
      <c r="AJ23" s="7"/>
      <c r="AK23" s="4"/>
      <c r="AL23" s="7"/>
      <c r="AM23" s="4"/>
      <c r="AN23" s="7"/>
      <c r="AO23" s="4"/>
      <c r="AP23" s="7"/>
      <c r="AQ23" s="4"/>
      <c r="AR23" s="7"/>
      <c r="AS23" s="4"/>
      <c r="AT23" s="7"/>
      <c r="AU23" s="4"/>
      <c r="AV23" s="7"/>
      <c r="AW23" s="4"/>
      <c r="AX23" s="7"/>
      <c r="AY23" s="4"/>
      <c r="AZ23" s="7"/>
      <c r="BA23" s="4"/>
      <c r="BB23" s="7"/>
      <c r="BC23" s="4"/>
      <c r="BD23" s="7"/>
      <c r="BE23" s="4"/>
      <c r="BF23" s="7"/>
      <c r="BG23" s="4"/>
      <c r="BH23" s="7"/>
      <c r="BI23" s="4"/>
      <c r="BJ23" s="7"/>
      <c r="BK23" s="4"/>
      <c r="BL23" s="7"/>
      <c r="BM23" s="4"/>
      <c r="BN23" s="7"/>
      <c r="BO23" s="4"/>
      <c r="BP23" s="7"/>
      <c r="BQ23" s="4"/>
      <c r="BR23" s="7"/>
      <c r="BS23" s="4"/>
      <c r="BT23" s="7"/>
      <c r="BU23" s="4"/>
      <c r="BV23" s="7"/>
      <c r="BW23" s="4"/>
      <c r="BX23" s="7"/>
      <c r="BY23" s="4"/>
      <c r="BZ23" s="7"/>
      <c r="CA23" s="4"/>
      <c r="CB23" s="7"/>
      <c r="CC23" s="4"/>
      <c r="CD23" s="7"/>
      <c r="CE23" s="4"/>
      <c r="CF23" s="7"/>
      <c r="CG23" s="4"/>
      <c r="CH23" s="7"/>
      <c r="CI23" s="4"/>
      <c r="CJ23" s="7"/>
      <c r="CK23" s="4"/>
      <c r="CL23" s="7"/>
      <c r="CM23" s="4"/>
      <c r="CN23" s="7"/>
      <c r="CO23" s="4"/>
      <c r="CP23" s="7"/>
      <c r="CQ23" s="4"/>
      <c r="CR23" s="7"/>
      <c r="CS23" s="4"/>
      <c r="CT23" s="7"/>
      <c r="CU23" s="4"/>
      <c r="CV23" s="7"/>
      <c r="CW23" s="4"/>
      <c r="CX23" s="7"/>
      <c r="CY23" s="4"/>
      <c r="CZ23" s="7"/>
      <c r="DA23" s="4"/>
      <c r="DB23" s="7"/>
      <c r="DC23" s="4"/>
      <c r="DD23" s="7"/>
      <c r="DE23" s="4"/>
      <c r="DF23" s="7"/>
      <c r="DG23" s="4"/>
      <c r="DH23" s="7"/>
      <c r="DI23" s="4"/>
      <c r="DJ23" s="7"/>
      <c r="DK23" s="4"/>
      <c r="DL23" s="7"/>
    </row>
    <row r="24" spans="1:116" ht="15" thickBot="1" x14ac:dyDescent="0.35">
      <c r="A24" s="2" t="s">
        <v>98</v>
      </c>
      <c r="B24" s="3" t="s">
        <v>99</v>
      </c>
      <c r="C24" s="3" t="s">
        <v>170</v>
      </c>
      <c r="D24" s="3" t="s">
        <v>111</v>
      </c>
      <c r="E24" s="3" t="s">
        <v>171</v>
      </c>
      <c r="F24" s="3" t="s">
        <v>112</v>
      </c>
      <c r="G24" s="3"/>
      <c r="H24" s="6">
        <f>SUMIF('Sunglasses BOM'!C22:C99,A24,'Sunglasses BOM'!E22:E99)</f>
        <v>25200</v>
      </c>
      <c r="I24" s="32">
        <f>_xlfn.XLOOKUP(A24,'Lens Assembly DPR - PP'!$A$4:$A$27,'Lens Assembly DPR - PP'!$I$4:$I$27)</f>
        <v>0</v>
      </c>
      <c r="J24" s="10">
        <f t="shared" si="49"/>
        <v>25200</v>
      </c>
      <c r="K24" s="42">
        <f>'Final Processes daily output'!$F$33</f>
        <v>29160</v>
      </c>
      <c r="L24" s="22">
        <f>_xlfn.XLOOKUP(A24,'Pad Printing DPR - PP'!$A$4:$A$27,'Pad Printing DPR - PP'!$I$4:$I$27)</f>
        <v>0</v>
      </c>
      <c r="M24" s="23">
        <f t="shared" si="50"/>
        <v>0</v>
      </c>
      <c r="N24" s="55">
        <f t="shared" si="51"/>
        <v>0.86419753086419748</v>
      </c>
      <c r="O24" s="4"/>
      <c r="P24" s="7"/>
      <c r="Q24" s="4"/>
      <c r="R24" s="7"/>
      <c r="S24" s="4"/>
      <c r="T24" s="7"/>
      <c r="U24" s="4"/>
      <c r="V24" s="7"/>
      <c r="W24" s="4"/>
      <c r="X24" s="7"/>
      <c r="Y24" s="4"/>
      <c r="Z24" s="7"/>
      <c r="AA24" s="4"/>
      <c r="AB24" s="7"/>
      <c r="AC24" s="4"/>
      <c r="AD24" s="7"/>
      <c r="AE24" s="4"/>
      <c r="AF24" s="7"/>
      <c r="AG24" s="4"/>
      <c r="AH24" s="7"/>
      <c r="AI24" s="4"/>
      <c r="AJ24" s="7"/>
      <c r="AK24" s="4"/>
      <c r="AL24" s="7"/>
      <c r="AM24" s="4"/>
      <c r="AN24" s="7"/>
      <c r="AO24" s="4"/>
      <c r="AP24" s="7"/>
      <c r="AQ24" s="4"/>
      <c r="AR24" s="7"/>
      <c r="AS24" s="4"/>
      <c r="AT24" s="7"/>
      <c r="AU24" s="4"/>
      <c r="AV24" s="7"/>
      <c r="AW24" s="4"/>
      <c r="AX24" s="7"/>
      <c r="AY24" s="4"/>
      <c r="AZ24" s="7"/>
      <c r="BA24" s="4"/>
      <c r="BB24" s="7"/>
      <c r="BC24" s="4"/>
      <c r="BD24" s="7"/>
      <c r="BE24" s="4"/>
      <c r="BF24" s="7"/>
      <c r="BG24" s="4"/>
      <c r="BH24" s="7"/>
      <c r="BI24" s="4"/>
      <c r="BJ24" s="7"/>
      <c r="BK24" s="4"/>
      <c r="BL24" s="7"/>
      <c r="BM24" s="4"/>
      <c r="BN24" s="7"/>
      <c r="BO24" s="4"/>
      <c r="BP24" s="7"/>
      <c r="BQ24" s="4"/>
      <c r="BR24" s="7"/>
      <c r="BS24" s="4"/>
      <c r="BT24" s="7"/>
      <c r="BU24" s="4"/>
      <c r="BV24" s="7"/>
      <c r="BW24" s="4"/>
      <c r="BX24" s="7"/>
      <c r="BY24" s="4"/>
      <c r="BZ24" s="7"/>
      <c r="CA24" s="4"/>
      <c r="CB24" s="7"/>
      <c r="CC24" s="4"/>
      <c r="CD24" s="7"/>
      <c r="CE24" s="4"/>
      <c r="CF24" s="7"/>
      <c r="CG24" s="4"/>
      <c r="CH24" s="7"/>
      <c r="CI24" s="4"/>
      <c r="CJ24" s="7"/>
      <c r="CK24" s="4"/>
      <c r="CL24" s="7"/>
      <c r="CM24" s="4"/>
      <c r="CN24" s="7"/>
      <c r="CO24" s="4"/>
      <c r="CP24" s="7"/>
      <c r="CQ24" s="4"/>
      <c r="CR24" s="7"/>
      <c r="CS24" s="4"/>
      <c r="CT24" s="7"/>
      <c r="CU24" s="4"/>
      <c r="CV24" s="7"/>
      <c r="CW24" s="4"/>
      <c r="CX24" s="7"/>
      <c r="CY24" s="4"/>
      <c r="CZ24" s="7"/>
      <c r="DA24" s="4"/>
      <c r="DB24" s="7"/>
      <c r="DC24" s="4"/>
      <c r="DD24" s="7"/>
      <c r="DE24" s="4"/>
      <c r="DF24" s="7"/>
      <c r="DG24" s="4"/>
      <c r="DH24" s="7"/>
      <c r="DI24" s="4"/>
      <c r="DJ24" s="7"/>
      <c r="DK24" s="4"/>
      <c r="DL24" s="7"/>
    </row>
    <row r="25" spans="1:116" ht="15" thickBot="1" x14ac:dyDescent="0.35">
      <c r="A25" s="2" t="s">
        <v>100</v>
      </c>
      <c r="B25" s="3" t="s">
        <v>101</v>
      </c>
      <c r="C25" s="3" t="s">
        <v>170</v>
      </c>
      <c r="D25" s="3" t="s">
        <v>111</v>
      </c>
      <c r="E25" s="3" t="s">
        <v>176</v>
      </c>
      <c r="F25" s="3" t="s">
        <v>115</v>
      </c>
      <c r="G25" s="3"/>
      <c r="H25" s="6">
        <f>SUMIF('Sunglasses BOM'!C23:C100,A25,'Sunglasses BOM'!E23:E100)</f>
        <v>8400</v>
      </c>
      <c r="I25" s="32">
        <f>_xlfn.XLOOKUP(A25,'Lens Assembly DPR - PP'!$A$4:$A$27,'Lens Assembly DPR - PP'!$I$4:$I$27)</f>
        <v>0</v>
      </c>
      <c r="J25" s="10">
        <f t="shared" si="49"/>
        <v>8400</v>
      </c>
      <c r="K25" s="42">
        <f>'Final Processes daily output'!$F$33</f>
        <v>29160</v>
      </c>
      <c r="L25" s="22">
        <f>_xlfn.XLOOKUP(A25,'Pad Printing DPR - PP'!$A$4:$A$27,'Pad Printing DPR - PP'!$I$4:$I$27)</f>
        <v>0</v>
      </c>
      <c r="M25" s="23">
        <f t="shared" si="50"/>
        <v>0</v>
      </c>
      <c r="N25" s="55">
        <f t="shared" si="51"/>
        <v>0.2880658436213992</v>
      </c>
      <c r="O25" s="4"/>
      <c r="P25" s="7"/>
      <c r="Q25" s="4"/>
      <c r="R25" s="7"/>
      <c r="S25" s="4"/>
      <c r="T25" s="7"/>
      <c r="U25" s="4"/>
      <c r="V25" s="7"/>
      <c r="W25" s="4"/>
      <c r="X25" s="7"/>
      <c r="Y25" s="4"/>
      <c r="Z25" s="7"/>
      <c r="AA25" s="4"/>
      <c r="AB25" s="7"/>
      <c r="AC25" s="4"/>
      <c r="AD25" s="7"/>
      <c r="AE25" s="4"/>
      <c r="AF25" s="7"/>
      <c r="AG25" s="4"/>
      <c r="AH25" s="7"/>
      <c r="AI25" s="4"/>
      <c r="AJ25" s="7"/>
      <c r="AK25" s="4"/>
      <c r="AL25" s="7"/>
      <c r="AM25" s="4"/>
      <c r="AN25" s="7"/>
      <c r="AO25" s="4"/>
      <c r="AP25" s="7"/>
      <c r="AQ25" s="4"/>
      <c r="AR25" s="7"/>
      <c r="AS25" s="4"/>
      <c r="AT25" s="7"/>
      <c r="AU25" s="4"/>
      <c r="AV25" s="7"/>
      <c r="AW25" s="4"/>
      <c r="AX25" s="7"/>
      <c r="AY25" s="4"/>
      <c r="AZ25" s="7"/>
      <c r="BA25" s="4"/>
      <c r="BB25" s="7"/>
      <c r="BC25" s="4"/>
      <c r="BD25" s="7"/>
      <c r="BE25" s="4"/>
      <c r="BF25" s="7"/>
      <c r="BG25" s="4"/>
      <c r="BH25" s="7"/>
      <c r="BI25" s="4"/>
      <c r="BJ25" s="7"/>
      <c r="BK25" s="4"/>
      <c r="BL25" s="7"/>
      <c r="BM25" s="4"/>
      <c r="BN25" s="7"/>
      <c r="BO25" s="4"/>
      <c r="BP25" s="7"/>
      <c r="BQ25" s="4"/>
      <c r="BR25" s="7"/>
      <c r="BS25" s="4"/>
      <c r="BT25" s="7"/>
      <c r="BU25" s="4"/>
      <c r="BV25" s="7"/>
      <c r="BW25" s="4"/>
      <c r="BX25" s="7"/>
      <c r="BY25" s="4"/>
      <c r="BZ25" s="7"/>
      <c r="CA25" s="4"/>
      <c r="CB25" s="7"/>
      <c r="CC25" s="4"/>
      <c r="CD25" s="7"/>
      <c r="CE25" s="4"/>
      <c r="CF25" s="7"/>
      <c r="CG25" s="4"/>
      <c r="CH25" s="7"/>
      <c r="CI25" s="4"/>
      <c r="CJ25" s="7"/>
      <c r="CK25" s="4"/>
      <c r="CL25" s="7"/>
      <c r="CM25" s="4"/>
      <c r="CN25" s="7"/>
      <c r="CO25" s="4"/>
      <c r="CP25" s="7"/>
      <c r="CQ25" s="4"/>
      <c r="CR25" s="7"/>
      <c r="CS25" s="4"/>
      <c r="CT25" s="7"/>
      <c r="CU25" s="4"/>
      <c r="CV25" s="7"/>
      <c r="CW25" s="4"/>
      <c r="CX25" s="7"/>
      <c r="CY25" s="4"/>
      <c r="CZ25" s="7"/>
      <c r="DA25" s="4"/>
      <c r="DB25" s="7"/>
      <c r="DC25" s="4"/>
      <c r="DD25" s="7"/>
      <c r="DE25" s="4"/>
      <c r="DF25" s="7"/>
      <c r="DG25" s="4"/>
      <c r="DH25" s="7"/>
      <c r="DI25" s="4"/>
      <c r="DJ25" s="7"/>
      <c r="DK25" s="4"/>
      <c r="DL25" s="7"/>
    </row>
    <row r="26" spans="1:116" ht="15" thickBot="1" x14ac:dyDescent="0.35">
      <c r="A26" s="2" t="s">
        <v>102</v>
      </c>
      <c r="B26" s="3" t="s">
        <v>103</v>
      </c>
      <c r="C26" s="3" t="s">
        <v>178</v>
      </c>
      <c r="D26" s="3" t="s">
        <v>112</v>
      </c>
      <c r="E26" s="3" t="s">
        <v>170</v>
      </c>
      <c r="F26" s="3" t="s">
        <v>111</v>
      </c>
      <c r="G26" s="3"/>
      <c r="H26" s="6">
        <f>SUMIF('Sunglasses BOM'!C24:C101,A26,'Sunglasses BOM'!E24:E101)</f>
        <v>8400</v>
      </c>
      <c r="I26" s="32">
        <f>_xlfn.XLOOKUP(A26,'Lens Assembly DPR - PP'!$A$4:$A$27,'Lens Assembly DPR - PP'!$I$4:$I$27)</f>
        <v>0</v>
      </c>
      <c r="J26" s="10">
        <f t="shared" si="49"/>
        <v>8400</v>
      </c>
      <c r="K26" s="42">
        <f>'Final Processes daily output'!$F$33</f>
        <v>29160</v>
      </c>
      <c r="L26" s="22">
        <f>_xlfn.XLOOKUP(A26,'Pad Printing DPR - PP'!$A$4:$A$27,'Pad Printing DPR - PP'!$I$4:$I$27)</f>
        <v>0</v>
      </c>
      <c r="M26" s="23">
        <f t="shared" si="50"/>
        <v>0</v>
      </c>
      <c r="N26" s="55">
        <f t="shared" si="51"/>
        <v>0.2880658436213992</v>
      </c>
      <c r="O26" s="4"/>
      <c r="P26" s="7"/>
      <c r="Q26" s="4"/>
      <c r="R26" s="7"/>
      <c r="S26" s="4"/>
      <c r="T26" s="7"/>
      <c r="U26" s="4"/>
      <c r="V26" s="7"/>
      <c r="W26" s="4"/>
      <c r="X26" s="7"/>
      <c r="Y26" s="4"/>
      <c r="Z26" s="7"/>
      <c r="AA26" s="4"/>
      <c r="AB26" s="7"/>
      <c r="AC26" s="4"/>
      <c r="AD26" s="7"/>
      <c r="AE26" s="4"/>
      <c r="AF26" s="7"/>
      <c r="AG26" s="4"/>
      <c r="AH26" s="7"/>
      <c r="AI26" s="4"/>
      <c r="AJ26" s="7"/>
      <c r="AK26" s="4"/>
      <c r="AL26" s="7"/>
      <c r="AM26" s="4"/>
      <c r="AN26" s="7"/>
      <c r="AO26" s="4"/>
      <c r="AP26" s="7"/>
      <c r="AQ26" s="4"/>
      <c r="AR26" s="7"/>
      <c r="AS26" s="4"/>
      <c r="AT26" s="7"/>
      <c r="AU26" s="4"/>
      <c r="AV26" s="7"/>
      <c r="AW26" s="4"/>
      <c r="AX26" s="7"/>
      <c r="AY26" s="4"/>
      <c r="AZ26" s="7"/>
      <c r="BA26" s="4"/>
      <c r="BB26" s="7"/>
      <c r="BC26" s="4"/>
      <c r="BD26" s="7"/>
      <c r="BE26" s="4"/>
      <c r="BF26" s="7"/>
      <c r="BG26" s="4"/>
      <c r="BH26" s="7"/>
      <c r="BI26" s="4"/>
      <c r="BJ26" s="7"/>
      <c r="BK26" s="4"/>
      <c r="BL26" s="7"/>
      <c r="BM26" s="4"/>
      <c r="BN26" s="7"/>
      <c r="BO26" s="4"/>
      <c r="BP26" s="7"/>
      <c r="BQ26" s="4"/>
      <c r="BR26" s="7"/>
      <c r="BS26" s="4"/>
      <c r="BT26" s="7"/>
      <c r="BU26" s="4"/>
      <c r="BV26" s="7"/>
      <c r="BW26" s="4"/>
      <c r="BX26" s="7"/>
      <c r="BY26" s="4"/>
      <c r="BZ26" s="7"/>
      <c r="CA26" s="4"/>
      <c r="CB26" s="7"/>
      <c r="CC26" s="4"/>
      <c r="CD26" s="7"/>
      <c r="CE26" s="4"/>
      <c r="CF26" s="7"/>
      <c r="CG26" s="4"/>
      <c r="CH26" s="7"/>
      <c r="CI26" s="4"/>
      <c r="CJ26" s="7"/>
      <c r="CK26" s="4"/>
      <c r="CL26" s="7"/>
      <c r="CM26" s="4"/>
      <c r="CN26" s="7"/>
      <c r="CO26" s="4"/>
      <c r="CP26" s="7"/>
      <c r="CQ26" s="4"/>
      <c r="CR26" s="7"/>
      <c r="CS26" s="4"/>
      <c r="CT26" s="7"/>
      <c r="CU26" s="4"/>
      <c r="CV26" s="7"/>
      <c r="CW26" s="4"/>
      <c r="CX26" s="7"/>
      <c r="CY26" s="4"/>
      <c r="CZ26" s="7"/>
      <c r="DA26" s="4"/>
      <c r="DB26" s="7"/>
      <c r="DC26" s="4"/>
      <c r="DD26" s="7"/>
      <c r="DE26" s="4"/>
      <c r="DF26" s="7"/>
      <c r="DG26" s="4"/>
      <c r="DH26" s="7"/>
      <c r="DI26" s="4"/>
      <c r="DJ26" s="7"/>
      <c r="DK26" s="4"/>
      <c r="DL26" s="7"/>
    </row>
    <row r="27" spans="1:116" ht="15" thickBot="1" x14ac:dyDescent="0.35">
      <c r="A27" s="4" t="s">
        <v>104</v>
      </c>
      <c r="B27" s="5" t="s">
        <v>105</v>
      </c>
      <c r="C27" s="5" t="s">
        <v>176</v>
      </c>
      <c r="D27" s="5" t="s">
        <v>115</v>
      </c>
      <c r="E27" s="5" t="s">
        <v>170</v>
      </c>
      <c r="F27" s="5" t="s">
        <v>111</v>
      </c>
      <c r="G27" s="5"/>
      <c r="H27" s="6">
        <f>SUMIF('Sunglasses BOM'!C25:C102,A27,'Sunglasses BOM'!E25:E102)</f>
        <v>8400</v>
      </c>
      <c r="I27" s="32">
        <f>_xlfn.XLOOKUP(A27,'Lens Assembly DPR - PP'!$A$4:$A$27,'Lens Assembly DPR - PP'!$I$4:$I$27)</f>
        <v>0</v>
      </c>
      <c r="J27" s="10">
        <f t="shared" si="49"/>
        <v>8400</v>
      </c>
      <c r="K27" s="42">
        <f>'Final Processes daily output'!$F$33</f>
        <v>29160</v>
      </c>
      <c r="L27" s="22">
        <f>_xlfn.XLOOKUP(A27,'Pad Printing DPR - PP'!$A$4:$A$27,'Pad Printing DPR - PP'!$I$4:$I$27)</f>
        <v>0</v>
      </c>
      <c r="M27" s="23">
        <f t="shared" si="50"/>
        <v>0</v>
      </c>
      <c r="N27" s="55">
        <f t="shared" si="51"/>
        <v>0.2880658436213992</v>
      </c>
      <c r="O27" s="4"/>
      <c r="P27" s="7"/>
      <c r="Q27" s="4"/>
      <c r="R27" s="7"/>
      <c r="S27" s="4"/>
      <c r="T27" s="7"/>
      <c r="U27" s="4"/>
      <c r="V27" s="7"/>
      <c r="W27" s="4"/>
      <c r="X27" s="7"/>
      <c r="Y27" s="4"/>
      <c r="Z27" s="7"/>
      <c r="AA27" s="4"/>
      <c r="AB27" s="7"/>
      <c r="AC27" s="4"/>
      <c r="AD27" s="7"/>
      <c r="AE27" s="4"/>
      <c r="AF27" s="7"/>
      <c r="AG27" s="4"/>
      <c r="AH27" s="7"/>
      <c r="AI27" s="4"/>
      <c r="AJ27" s="7"/>
      <c r="AK27" s="4"/>
      <c r="AL27" s="7"/>
      <c r="AM27" s="4"/>
      <c r="AN27" s="7"/>
      <c r="AO27" s="4"/>
      <c r="AP27" s="7"/>
      <c r="AQ27" s="4"/>
      <c r="AR27" s="7"/>
      <c r="AS27" s="4"/>
      <c r="AT27" s="7"/>
      <c r="AU27" s="4"/>
      <c r="AV27" s="7"/>
      <c r="AW27" s="4"/>
      <c r="AX27" s="7"/>
      <c r="AY27" s="4"/>
      <c r="AZ27" s="7"/>
      <c r="BA27" s="4"/>
      <c r="BB27" s="7"/>
      <c r="BC27" s="4"/>
      <c r="BD27" s="7"/>
      <c r="BE27" s="4"/>
      <c r="BF27" s="7"/>
      <c r="BG27" s="4"/>
      <c r="BH27" s="7"/>
      <c r="BI27" s="4"/>
      <c r="BJ27" s="7"/>
      <c r="BK27" s="4"/>
      <c r="BL27" s="7"/>
      <c r="BM27" s="4"/>
      <c r="BN27" s="7"/>
      <c r="BO27" s="4"/>
      <c r="BP27" s="7"/>
      <c r="BQ27" s="4"/>
      <c r="BR27" s="7"/>
      <c r="BS27" s="4"/>
      <c r="BT27" s="7"/>
      <c r="BU27" s="4"/>
      <c r="BV27" s="7"/>
      <c r="BW27" s="4"/>
      <c r="BX27" s="7"/>
      <c r="BY27" s="4"/>
      <c r="BZ27" s="7"/>
      <c r="CA27" s="4"/>
      <c r="CB27" s="7"/>
      <c r="CC27" s="4"/>
      <c r="CD27" s="7"/>
      <c r="CE27" s="4"/>
      <c r="CF27" s="7"/>
      <c r="CG27" s="4"/>
      <c r="CH27" s="7"/>
      <c r="CI27" s="4"/>
      <c r="CJ27" s="7"/>
      <c r="CK27" s="4"/>
      <c r="CL27" s="7"/>
      <c r="CM27" s="4"/>
      <c r="CN27" s="7"/>
      <c r="CO27" s="4"/>
      <c r="CP27" s="7"/>
      <c r="CQ27" s="4"/>
      <c r="CR27" s="7"/>
      <c r="CS27" s="4"/>
      <c r="CT27" s="7"/>
      <c r="CU27" s="4"/>
      <c r="CV27" s="7"/>
      <c r="CW27" s="4"/>
      <c r="CX27" s="7"/>
      <c r="CY27" s="4"/>
      <c r="CZ27" s="7"/>
      <c r="DA27" s="4"/>
      <c r="DB27" s="7"/>
      <c r="DC27" s="4"/>
      <c r="DD27" s="7"/>
      <c r="DE27" s="4"/>
      <c r="DF27" s="7"/>
      <c r="DG27" s="4"/>
      <c r="DH27" s="7"/>
      <c r="DI27" s="4"/>
      <c r="DJ27" s="7"/>
      <c r="DK27" s="4"/>
      <c r="DL27" s="7"/>
    </row>
  </sheetData>
  <mergeCells count="102">
    <mergeCell ref="DI2:DJ2"/>
    <mergeCell ref="DK2:DL2"/>
    <mergeCell ref="CW2:CX2"/>
    <mergeCell ref="CY2:CZ2"/>
    <mergeCell ref="DA2:DB2"/>
    <mergeCell ref="DC2:DD2"/>
    <mergeCell ref="DE2:DF2"/>
    <mergeCell ref="DG2:DH2"/>
    <mergeCell ref="CK2:CL2"/>
    <mergeCell ref="CM2:CN2"/>
    <mergeCell ref="CO2:CP2"/>
    <mergeCell ref="CQ2:CR2"/>
    <mergeCell ref="CS2:CT2"/>
    <mergeCell ref="CU2:CV2"/>
    <mergeCell ref="AY2:AZ2"/>
    <mergeCell ref="BY2:BZ2"/>
    <mergeCell ref="CA2:CB2"/>
    <mergeCell ref="CC2:CD2"/>
    <mergeCell ref="CE2:CF2"/>
    <mergeCell ref="CG2:CH2"/>
    <mergeCell ref="CI2:CJ2"/>
    <mergeCell ref="BM2:BN2"/>
    <mergeCell ref="BO2:BP2"/>
    <mergeCell ref="BQ2:BR2"/>
    <mergeCell ref="BS2:BT2"/>
    <mergeCell ref="BU2:BV2"/>
    <mergeCell ref="BW2:BX2"/>
    <mergeCell ref="DG1:DH1"/>
    <mergeCell ref="DI1:DJ1"/>
    <mergeCell ref="DK1:DL1"/>
    <mergeCell ref="CY1:CZ1"/>
    <mergeCell ref="DA1:DB1"/>
    <mergeCell ref="DC1:DD1"/>
    <mergeCell ref="DE1:DF1"/>
    <mergeCell ref="BQ1:BR1"/>
    <mergeCell ref="BS1:BT1"/>
    <mergeCell ref="BU1:BV1"/>
    <mergeCell ref="BK1:BL1"/>
    <mergeCell ref="BM1:BN1"/>
    <mergeCell ref="BO1:BP1"/>
    <mergeCell ref="AC2:AD2"/>
    <mergeCell ref="AE2:AF2"/>
    <mergeCell ref="AG2:AH2"/>
    <mergeCell ref="AI2:AJ2"/>
    <mergeCell ref="AK2:AL2"/>
    <mergeCell ref="AM2:AN2"/>
    <mergeCell ref="AY1:AZ1"/>
    <mergeCell ref="BA1:BB1"/>
    <mergeCell ref="BC1:BD1"/>
    <mergeCell ref="BE1:BF1"/>
    <mergeCell ref="BG1:BH1"/>
    <mergeCell ref="BI1:BJ1"/>
    <mergeCell ref="AM1:AN1"/>
    <mergeCell ref="AO1:AP1"/>
    <mergeCell ref="BA2:BB2"/>
    <mergeCell ref="BC2:BD2"/>
    <mergeCell ref="BE2:BF2"/>
    <mergeCell ref="BG2:BH2"/>
    <mergeCell ref="BI2:BJ2"/>
    <mergeCell ref="BK2:BL2"/>
    <mergeCell ref="AO2:AP2"/>
    <mergeCell ref="CU1:CV1"/>
    <mergeCell ref="CW1:CX1"/>
    <mergeCell ref="CI1:CJ1"/>
    <mergeCell ref="CK1:CL1"/>
    <mergeCell ref="CM1:CN1"/>
    <mergeCell ref="CO1:CP1"/>
    <mergeCell ref="CQ1:CR1"/>
    <mergeCell ref="CS1:CT1"/>
    <mergeCell ref="BW1:BX1"/>
    <mergeCell ref="BY1:BZ1"/>
    <mergeCell ref="CA1:CB1"/>
    <mergeCell ref="CC1:CD1"/>
    <mergeCell ref="CE1:CF1"/>
    <mergeCell ref="CG1:CH1"/>
    <mergeCell ref="AW1:AX1"/>
    <mergeCell ref="AA1:AB1"/>
    <mergeCell ref="AC1:AD1"/>
    <mergeCell ref="AE1:AF1"/>
    <mergeCell ref="AG1:AH1"/>
    <mergeCell ref="AI1:AJ1"/>
    <mergeCell ref="AK1:AL1"/>
    <mergeCell ref="O2:P2"/>
    <mergeCell ref="Q2:R2"/>
    <mergeCell ref="S2:T2"/>
    <mergeCell ref="U2:V2"/>
    <mergeCell ref="W2:X2"/>
    <mergeCell ref="Y2:Z2"/>
    <mergeCell ref="AA2:AB2"/>
    <mergeCell ref="AQ2:AR2"/>
    <mergeCell ref="AS2:AT2"/>
    <mergeCell ref="AU2:AV2"/>
    <mergeCell ref="AW2:AX2"/>
    <mergeCell ref="O1:P1"/>
    <mergeCell ref="Q1:R1"/>
    <mergeCell ref="S1:T1"/>
    <mergeCell ref="U1:V1"/>
    <mergeCell ref="W1:X1"/>
    <mergeCell ref="Y1:Z1"/>
    <mergeCell ref="AQ1:AR1"/>
    <mergeCell ref="AS1:AT1"/>
    <mergeCell ref="AU1:AV1"/>
  </mergeCells>
  <conditionalFormatting sqref="M4:M27">
    <cfRule type="cellIs" dxfId="1" priority="1" operator="lessThan">
      <formula>0</formula>
    </cfRule>
  </conditionalFormatting>
  <conditionalFormatting sqref="O2:DL2">
    <cfRule type="expression" dxfId="0" priority="2">
      <formula>SUM(O$4:O$17)&gt;$K$4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8E31E-FD11-418A-AD0A-D4F73383B880}">
  <dimension ref="A1:G42"/>
  <sheetViews>
    <sheetView zoomScale="190" zoomScaleNormal="190" workbookViewId="0">
      <selection activeCell="G5" sqref="G5"/>
    </sheetView>
  </sheetViews>
  <sheetFormatPr defaultColWidth="8.88671875" defaultRowHeight="14.4" x14ac:dyDescent="0.3"/>
  <cols>
    <col min="1" max="1" width="16.21875" style="17" bestFit="1" customWidth="1"/>
    <col min="2" max="2" width="10" style="17" bestFit="1" customWidth="1"/>
    <col min="3" max="3" width="11.5546875" style="17" bestFit="1" customWidth="1"/>
    <col min="4" max="4" width="12.109375" style="17" bestFit="1" customWidth="1"/>
    <col min="5" max="5" width="13.77734375" style="17" bestFit="1" customWidth="1"/>
    <col min="6" max="6" width="11.88671875" style="17" bestFit="1" customWidth="1"/>
    <col min="7" max="7" width="11.5546875" style="17" bestFit="1" customWidth="1"/>
    <col min="8" max="16384" width="8.88671875" style="17"/>
  </cols>
  <sheetData>
    <row r="1" spans="1:6" ht="43.2" x14ac:dyDescent="0.3">
      <c r="A1" s="17" t="s">
        <v>537</v>
      </c>
      <c r="B1" s="17" t="s">
        <v>370</v>
      </c>
      <c r="C1" s="17" t="s">
        <v>371</v>
      </c>
      <c r="D1" s="17" t="s">
        <v>372</v>
      </c>
      <c r="E1" s="17" t="s">
        <v>374</v>
      </c>
      <c r="F1" s="17" t="s">
        <v>373</v>
      </c>
    </row>
    <row r="2" spans="1:6" x14ac:dyDescent="0.3">
      <c r="A2" s="17" t="s">
        <v>536</v>
      </c>
    </row>
    <row r="3" spans="1:6" x14ac:dyDescent="0.3">
      <c r="C3" s="17">
        <v>200</v>
      </c>
      <c r="D3" s="17">
        <f>C3*20</f>
        <v>4000</v>
      </c>
      <c r="E3" s="17">
        <v>1</v>
      </c>
      <c r="F3" s="17">
        <f>D3*E3</f>
        <v>4000</v>
      </c>
    </row>
    <row r="5" spans="1:6" x14ac:dyDescent="0.3">
      <c r="A5" s="17" t="s">
        <v>368</v>
      </c>
    </row>
    <row r="6" spans="1:6" x14ac:dyDescent="0.3">
      <c r="A6" s="17">
        <v>8</v>
      </c>
      <c r="B6" s="27">
        <f>60/A6</f>
        <v>7.5</v>
      </c>
      <c r="C6" s="17">
        <f>B6*60</f>
        <v>450</v>
      </c>
      <c r="D6" s="17">
        <f>C6*20</f>
        <v>9000</v>
      </c>
      <c r="E6" s="17">
        <v>3</v>
      </c>
      <c r="F6" s="26">
        <f>D6*E6</f>
        <v>27000</v>
      </c>
    </row>
    <row r="7" spans="1:6" x14ac:dyDescent="0.3">
      <c r="B7" s="27"/>
      <c r="F7" s="26"/>
    </row>
    <row r="8" spans="1:6" x14ac:dyDescent="0.3">
      <c r="A8" s="17" t="s">
        <v>367</v>
      </c>
      <c r="B8" s="27"/>
      <c r="F8" s="26"/>
    </row>
    <row r="9" spans="1:6" x14ac:dyDescent="0.3">
      <c r="A9" s="17">
        <v>8</v>
      </c>
      <c r="B9" s="27">
        <f>60/A9</f>
        <v>7.5</v>
      </c>
      <c r="C9" s="17">
        <f>B9*60</f>
        <v>450</v>
      </c>
      <c r="D9" s="17">
        <f>C9*20</f>
        <v>9000</v>
      </c>
      <c r="E9" s="17">
        <v>3</v>
      </c>
      <c r="F9" s="26">
        <f>D9*E9</f>
        <v>27000</v>
      </c>
    </row>
    <row r="10" spans="1:6" x14ac:dyDescent="0.3">
      <c r="B10" s="27"/>
      <c r="F10" s="26"/>
    </row>
    <row r="11" spans="1:6" x14ac:dyDescent="0.3">
      <c r="A11" s="17" t="s">
        <v>550</v>
      </c>
      <c r="B11" s="27"/>
      <c r="F11" s="26"/>
    </row>
    <row r="12" spans="1:6" x14ac:dyDescent="0.3">
      <c r="B12" s="27"/>
      <c r="E12" s="17">
        <v>8</v>
      </c>
      <c r="F12" s="26">
        <v>27000</v>
      </c>
    </row>
    <row r="14" spans="1:6" x14ac:dyDescent="0.3">
      <c r="A14" s="17" t="s">
        <v>356</v>
      </c>
    </row>
    <row r="15" spans="1:6" x14ac:dyDescent="0.3">
      <c r="A15" s="17">
        <v>7</v>
      </c>
      <c r="B15" s="27">
        <f>60/A15</f>
        <v>8.5714285714285712</v>
      </c>
      <c r="C15" s="17">
        <f>B15*60</f>
        <v>514.28571428571422</v>
      </c>
      <c r="D15" s="17">
        <f>C15*20</f>
        <v>10285.714285714284</v>
      </c>
      <c r="E15" s="17">
        <v>4</v>
      </c>
      <c r="F15" s="26">
        <f>D15*E15</f>
        <v>41142.857142857138</v>
      </c>
    </row>
    <row r="17" spans="1:7" x14ac:dyDescent="0.3">
      <c r="A17" s="17" t="s">
        <v>541</v>
      </c>
    </row>
    <row r="18" spans="1:7" x14ac:dyDescent="0.3">
      <c r="A18" s="17">
        <v>5</v>
      </c>
      <c r="B18" s="27">
        <f>60/A18</f>
        <v>12</v>
      </c>
      <c r="C18" s="17">
        <f>B18*60</f>
        <v>720</v>
      </c>
      <c r="D18" s="17">
        <f>C18*22</f>
        <v>15840</v>
      </c>
      <c r="E18" s="17">
        <v>2</v>
      </c>
      <c r="F18" s="26">
        <f>D18*E18</f>
        <v>31680</v>
      </c>
      <c r="G18" s="17">
        <f>F18/4</f>
        <v>7920</v>
      </c>
    </row>
    <row r="19" spans="1:7" x14ac:dyDescent="0.3">
      <c r="B19" s="27"/>
      <c r="F19" s="26"/>
    </row>
    <row r="20" spans="1:7" x14ac:dyDescent="0.3">
      <c r="A20" s="17" t="s">
        <v>542</v>
      </c>
    </row>
    <row r="21" spans="1:7" x14ac:dyDescent="0.3">
      <c r="A21" s="17">
        <v>5</v>
      </c>
      <c r="B21" s="27">
        <f>60/A21</f>
        <v>12</v>
      </c>
      <c r="C21" s="17">
        <f>B21*60</f>
        <v>720</v>
      </c>
      <c r="D21" s="17">
        <f>C21*22</f>
        <v>15840</v>
      </c>
      <c r="E21" s="17">
        <v>2</v>
      </c>
      <c r="F21" s="26">
        <f>D21*E21</f>
        <v>31680</v>
      </c>
    </row>
    <row r="23" spans="1:7" ht="28.8" x14ac:dyDescent="0.3">
      <c r="A23" s="17" t="s">
        <v>547</v>
      </c>
    </row>
    <row r="24" spans="1:7" x14ac:dyDescent="0.3">
      <c r="A24" s="17">
        <v>15</v>
      </c>
      <c r="B24" s="27">
        <f>60/A24</f>
        <v>4</v>
      </c>
      <c r="C24" s="17">
        <f>B24*60</f>
        <v>240</v>
      </c>
      <c r="D24" s="17">
        <f>C24*9</f>
        <v>2160</v>
      </c>
      <c r="E24" s="17">
        <v>14</v>
      </c>
      <c r="F24" s="26">
        <f>D24*E24</f>
        <v>30240</v>
      </c>
    </row>
    <row r="25" spans="1:7" x14ac:dyDescent="0.3">
      <c r="B25" s="27"/>
      <c r="F25" s="26"/>
    </row>
    <row r="26" spans="1:7" ht="28.8" x14ac:dyDescent="0.3">
      <c r="A26" s="17" t="s">
        <v>548</v>
      </c>
    </row>
    <row r="27" spans="1:7" x14ac:dyDescent="0.3">
      <c r="A27" s="17">
        <v>15</v>
      </c>
      <c r="B27" s="27">
        <f>60/A27</f>
        <v>4</v>
      </c>
      <c r="C27" s="17">
        <f>B27*60</f>
        <v>240</v>
      </c>
      <c r="D27" s="17">
        <f>C27*9</f>
        <v>2160</v>
      </c>
      <c r="E27" s="17">
        <v>14</v>
      </c>
      <c r="F27" s="26">
        <f>D27*E27</f>
        <v>30240</v>
      </c>
    </row>
    <row r="29" spans="1:7" ht="57.6" x14ac:dyDescent="0.3">
      <c r="A29" s="17" t="s">
        <v>544</v>
      </c>
    </row>
    <row r="30" spans="1:7" x14ac:dyDescent="0.3">
      <c r="A30" s="17">
        <v>20</v>
      </c>
      <c r="B30" s="27">
        <f>60/A30</f>
        <v>3</v>
      </c>
      <c r="C30" s="17">
        <f>B30*60</f>
        <v>180</v>
      </c>
      <c r="D30" s="17">
        <f>C30*9</f>
        <v>1620</v>
      </c>
      <c r="E30" s="17">
        <v>18</v>
      </c>
      <c r="F30" s="26">
        <f>D30*E30</f>
        <v>29160</v>
      </c>
    </row>
    <row r="32" spans="1:7" ht="57.6" x14ac:dyDescent="0.3">
      <c r="A32" s="17" t="s">
        <v>543</v>
      </c>
    </row>
    <row r="33" spans="1:6" x14ac:dyDescent="0.3">
      <c r="A33" s="17">
        <v>20</v>
      </c>
      <c r="B33" s="27">
        <f>60/A33</f>
        <v>3</v>
      </c>
      <c r="C33" s="17">
        <f>B33*60</f>
        <v>180</v>
      </c>
      <c r="D33" s="17">
        <f>C33*9</f>
        <v>1620</v>
      </c>
      <c r="E33" s="17">
        <v>18</v>
      </c>
      <c r="F33" s="26">
        <f>D33*E33</f>
        <v>29160</v>
      </c>
    </row>
    <row r="35" spans="1:6" ht="28.8" x14ac:dyDescent="0.3">
      <c r="A35" s="17" t="s">
        <v>545</v>
      </c>
    </row>
    <row r="36" spans="1:6" x14ac:dyDescent="0.3">
      <c r="A36" s="17">
        <v>20</v>
      </c>
      <c r="B36" s="27">
        <f>60/A36</f>
        <v>3</v>
      </c>
      <c r="C36" s="17">
        <f>B36*60</f>
        <v>180</v>
      </c>
      <c r="D36" s="17">
        <f>C36*9</f>
        <v>1620</v>
      </c>
      <c r="E36" s="17">
        <v>15</v>
      </c>
      <c r="F36" s="26">
        <f>D36*E36</f>
        <v>24300</v>
      </c>
    </row>
    <row r="37" spans="1:6" x14ac:dyDescent="0.3">
      <c r="B37" s="27"/>
      <c r="F37" s="26"/>
    </row>
    <row r="38" spans="1:6" ht="28.8" x14ac:dyDescent="0.3">
      <c r="A38" s="17" t="s">
        <v>546</v>
      </c>
    </row>
    <row r="39" spans="1:6" x14ac:dyDescent="0.3">
      <c r="A39" s="17">
        <v>20</v>
      </c>
      <c r="B39" s="27">
        <f>60/A39</f>
        <v>3</v>
      </c>
      <c r="C39" s="17">
        <f>B39*60</f>
        <v>180</v>
      </c>
      <c r="D39" s="17">
        <f>C39*9</f>
        <v>1620</v>
      </c>
      <c r="E39" s="17">
        <v>15</v>
      </c>
      <c r="F39" s="26">
        <f>D39*E39</f>
        <v>24300</v>
      </c>
    </row>
    <row r="41" spans="1:6" ht="28.8" x14ac:dyDescent="0.3">
      <c r="A41" s="17" t="s">
        <v>375</v>
      </c>
    </row>
    <row r="42" spans="1:6" x14ac:dyDescent="0.3">
      <c r="B42" s="27" t="e">
        <f>60/A42</f>
        <v>#DIV/0!</v>
      </c>
      <c r="C42" s="17" t="e">
        <f>B42*60</f>
        <v>#DIV/0!</v>
      </c>
      <c r="D42" s="17" t="e">
        <f>C42*20</f>
        <v>#DIV/0!</v>
      </c>
      <c r="E42" s="17">
        <v>3</v>
      </c>
      <c r="F42" s="26" t="e">
        <f>D42*E42</f>
        <v>#DIV/0!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0260A-E89E-4F6E-89BA-68A5F0C38AD7}">
  <dimension ref="A1:J54"/>
  <sheetViews>
    <sheetView workbookViewId="0">
      <selection activeCell="I6" sqref="I6"/>
    </sheetView>
  </sheetViews>
  <sheetFormatPr defaultColWidth="8.88671875" defaultRowHeight="14.4" x14ac:dyDescent="0.3"/>
  <cols>
    <col min="1" max="1" width="16.33203125" style="17" customWidth="1"/>
    <col min="2" max="2" width="24.21875" style="17" bestFit="1" customWidth="1"/>
    <col min="3" max="4" width="17.77734375" style="17" customWidth="1"/>
    <col min="5" max="5" width="18.44140625" style="17" bestFit="1" customWidth="1"/>
    <col min="6" max="6" width="10.33203125" style="17" bestFit="1" customWidth="1"/>
    <col min="7" max="7" width="16.33203125" style="17" bestFit="1" customWidth="1"/>
    <col min="8" max="8" width="9.6640625" style="17" bestFit="1" customWidth="1"/>
    <col min="9" max="9" width="47.6640625" style="17" bestFit="1" customWidth="1"/>
    <col min="10" max="10" width="33.6640625" style="17" bestFit="1" customWidth="1"/>
    <col min="11" max="11" width="25" style="17" customWidth="1"/>
    <col min="12" max="16384" width="8.88671875" style="17"/>
  </cols>
  <sheetData>
    <row r="1" spans="1:10" ht="28.8" x14ac:dyDescent="0.3">
      <c r="A1" s="17" t="s">
        <v>207</v>
      </c>
      <c r="B1" s="17" t="s">
        <v>346</v>
      </c>
      <c r="C1" s="17" t="s">
        <v>416</v>
      </c>
      <c r="D1" s="17" t="s">
        <v>351</v>
      </c>
      <c r="E1" s="17" t="s">
        <v>352</v>
      </c>
      <c r="F1" s="17" t="s">
        <v>295</v>
      </c>
      <c r="G1" s="17" t="s">
        <v>296</v>
      </c>
      <c r="H1" s="17" t="s">
        <v>248</v>
      </c>
      <c r="I1" s="17" t="s">
        <v>482</v>
      </c>
    </row>
    <row r="2" spans="1:10" ht="28.8" x14ac:dyDescent="0.3">
      <c r="A2" s="17" t="s">
        <v>357</v>
      </c>
      <c r="B2" s="17" t="s">
        <v>358</v>
      </c>
      <c r="E2" s="17">
        <v>10</v>
      </c>
      <c r="F2" s="19">
        <v>45974</v>
      </c>
      <c r="G2" s="19">
        <f t="shared" ref="G2:G6" si="0">WORKDAY.INTL(F2, E2, "0010000")</f>
        <v>45985</v>
      </c>
      <c r="H2" s="17" t="s">
        <v>285</v>
      </c>
    </row>
    <row r="3" spans="1:10" ht="28.8" x14ac:dyDescent="0.3">
      <c r="B3" s="17" t="s">
        <v>359</v>
      </c>
      <c r="E3" s="17">
        <v>10</v>
      </c>
      <c r="F3" s="19">
        <v>45974</v>
      </c>
      <c r="G3" s="19">
        <f t="shared" si="0"/>
        <v>45985</v>
      </c>
      <c r="H3" s="17" t="s">
        <v>285</v>
      </c>
    </row>
    <row r="4" spans="1:10" x14ac:dyDescent="0.3">
      <c r="F4" s="19"/>
      <c r="G4" s="19"/>
    </row>
    <row r="5" spans="1:10" ht="48" customHeight="1" x14ac:dyDescent="0.3">
      <c r="A5" s="17" t="s">
        <v>480</v>
      </c>
      <c r="B5" s="17" t="s">
        <v>481</v>
      </c>
      <c r="E5" s="17">
        <v>8</v>
      </c>
      <c r="F5" s="19">
        <v>45962</v>
      </c>
      <c r="G5" s="19">
        <f t="shared" si="0"/>
        <v>45971</v>
      </c>
      <c r="H5" s="17" t="s">
        <v>483</v>
      </c>
      <c r="I5" s="17" t="s">
        <v>494</v>
      </c>
      <c r="J5" s="17" t="s">
        <v>495</v>
      </c>
    </row>
    <row r="6" spans="1:10" ht="48" customHeight="1" x14ac:dyDescent="0.3">
      <c r="E6" s="17">
        <v>2</v>
      </c>
      <c r="F6" s="19">
        <v>45967</v>
      </c>
      <c r="G6" s="19">
        <f t="shared" si="0"/>
        <v>45969</v>
      </c>
      <c r="H6" s="17" t="s">
        <v>496</v>
      </c>
      <c r="I6" s="17" t="s">
        <v>497</v>
      </c>
    </row>
    <row r="7" spans="1:10" ht="43.2" x14ac:dyDescent="0.3">
      <c r="B7" s="17" t="s">
        <v>486</v>
      </c>
      <c r="E7" s="17">
        <v>3</v>
      </c>
      <c r="F7" s="19">
        <v>45965</v>
      </c>
      <c r="G7" s="19">
        <f>WORKDAY.INTL(F7, E7, "0000001")</f>
        <v>45968</v>
      </c>
      <c r="H7" s="17" t="s">
        <v>484</v>
      </c>
      <c r="I7" s="17" t="s">
        <v>485</v>
      </c>
      <c r="J7" s="17" t="s">
        <v>498</v>
      </c>
    </row>
    <row r="8" spans="1:10" x14ac:dyDescent="0.3">
      <c r="F8" s="19"/>
      <c r="G8" s="19"/>
    </row>
    <row r="9" spans="1:10" ht="57.6" x14ac:dyDescent="0.3">
      <c r="A9" s="17" t="s">
        <v>487</v>
      </c>
      <c r="B9" s="17" t="s">
        <v>489</v>
      </c>
      <c r="E9" s="17">
        <v>2</v>
      </c>
      <c r="F9" s="19">
        <v>45965</v>
      </c>
      <c r="G9" s="19">
        <f>WORKDAY.INTL(F9, E9, "0000001")</f>
        <v>45967</v>
      </c>
      <c r="H9" s="17" t="s">
        <v>484</v>
      </c>
      <c r="I9" s="17" t="s">
        <v>492</v>
      </c>
      <c r="J9" s="17" t="s">
        <v>502</v>
      </c>
    </row>
    <row r="10" spans="1:10" ht="28.8" x14ac:dyDescent="0.3">
      <c r="B10" s="17" t="s">
        <v>490</v>
      </c>
      <c r="E10" s="17">
        <v>4</v>
      </c>
      <c r="F10" s="19">
        <v>45965</v>
      </c>
      <c r="G10" s="19">
        <f>WORKDAY.INTL(F10, E10, "0000001")</f>
        <v>45969</v>
      </c>
      <c r="H10" s="17" t="s">
        <v>484</v>
      </c>
      <c r="I10" s="17" t="s">
        <v>499</v>
      </c>
    </row>
    <row r="11" spans="1:10" ht="28.8" x14ac:dyDescent="0.3">
      <c r="B11" s="17" t="s">
        <v>488</v>
      </c>
      <c r="E11" s="17">
        <v>4</v>
      </c>
      <c r="F11" s="19">
        <v>45965</v>
      </c>
      <c r="G11" s="19">
        <f>WORKDAY.INTL(F11, E11, "0000001")</f>
        <v>45969</v>
      </c>
      <c r="H11" s="17" t="s">
        <v>491</v>
      </c>
      <c r="I11" s="17" t="s">
        <v>493</v>
      </c>
      <c r="J11" s="17" t="s">
        <v>500</v>
      </c>
    </row>
    <row r="12" spans="1:10" ht="28.8" x14ac:dyDescent="0.3">
      <c r="B12" s="17" t="s">
        <v>501</v>
      </c>
      <c r="E12" s="17">
        <v>4</v>
      </c>
      <c r="F12" s="19">
        <v>45965</v>
      </c>
      <c r="G12" s="19">
        <f t="shared" ref="G12" si="1">WORKDAY.INTL(F12, E12, "0010000")</f>
        <v>45970</v>
      </c>
      <c r="H12" s="17" t="s">
        <v>491</v>
      </c>
      <c r="I12" s="17" t="s">
        <v>493</v>
      </c>
    </row>
    <row r="13" spans="1:10" x14ac:dyDescent="0.3">
      <c r="G13" s="19"/>
    </row>
    <row r="14" spans="1:10" x14ac:dyDescent="0.3">
      <c r="A14" s="17" t="s">
        <v>360</v>
      </c>
      <c r="B14" s="17" t="s">
        <v>361</v>
      </c>
      <c r="E14" s="17">
        <v>3</v>
      </c>
      <c r="F14" s="19">
        <v>45972</v>
      </c>
      <c r="G14" s="19">
        <f>WORKDAY.INTL(F14, E14, "0010000")</f>
        <v>45976</v>
      </c>
    </row>
    <row r="15" spans="1:10" x14ac:dyDescent="0.3">
      <c r="B15" s="17" t="s">
        <v>362</v>
      </c>
      <c r="E15" s="17">
        <v>3</v>
      </c>
      <c r="F15" s="19">
        <v>45972</v>
      </c>
      <c r="G15" s="19">
        <f t="shared" ref="G15:G28" si="2">WORKDAY.INTL(F15, E15, "0010000")</f>
        <v>45976</v>
      </c>
    </row>
    <row r="16" spans="1:10" x14ac:dyDescent="0.3">
      <c r="B16" s="17" t="s">
        <v>363</v>
      </c>
      <c r="E16" s="17">
        <v>3</v>
      </c>
      <c r="F16" s="19">
        <v>45972</v>
      </c>
      <c r="G16" s="19">
        <f t="shared" si="2"/>
        <v>45976</v>
      </c>
    </row>
    <row r="17" spans="1:7" x14ac:dyDescent="0.3">
      <c r="B17" s="17" t="s">
        <v>364</v>
      </c>
      <c r="E17" s="17">
        <v>3</v>
      </c>
      <c r="F17" s="19">
        <v>45972</v>
      </c>
      <c r="G17" s="19">
        <f t="shared" si="2"/>
        <v>45976</v>
      </c>
    </row>
    <row r="18" spans="1:7" x14ac:dyDescent="0.3">
      <c r="F18" s="19"/>
      <c r="G18" s="19"/>
    </row>
    <row r="19" spans="1:7" ht="28.8" x14ac:dyDescent="0.3">
      <c r="A19" s="17" t="s">
        <v>365</v>
      </c>
      <c r="B19" s="17" t="s">
        <v>6</v>
      </c>
      <c r="C19" s="17" t="e">
        <f>'Raw Material Requirement'!#REF!</f>
        <v>#REF!</v>
      </c>
      <c r="E19" s="17">
        <v>7</v>
      </c>
      <c r="F19" s="19">
        <v>45964</v>
      </c>
      <c r="G19" s="19">
        <f t="shared" si="2"/>
        <v>45972</v>
      </c>
    </row>
    <row r="20" spans="1:7" x14ac:dyDescent="0.3">
      <c r="B20" s="17" t="s">
        <v>7</v>
      </c>
      <c r="C20" s="17" t="e">
        <f>'Raw Material Requirement'!#REF!</f>
        <v>#REF!</v>
      </c>
      <c r="E20" s="17">
        <v>7</v>
      </c>
      <c r="F20" s="19">
        <v>45964</v>
      </c>
      <c r="G20" s="19">
        <f t="shared" si="2"/>
        <v>45972</v>
      </c>
    </row>
    <row r="21" spans="1:7" x14ac:dyDescent="0.3">
      <c r="B21" s="17" t="s">
        <v>417</v>
      </c>
      <c r="C21" s="17" t="e">
        <f>'Raw Material Requirement'!#REF!</f>
        <v>#REF!</v>
      </c>
      <c r="E21" s="17">
        <v>7</v>
      </c>
      <c r="F21" s="19">
        <v>45964</v>
      </c>
      <c r="G21" s="19">
        <f t="shared" si="2"/>
        <v>45972</v>
      </c>
    </row>
    <row r="22" spans="1:7" x14ac:dyDescent="0.3">
      <c r="B22" s="17" t="s">
        <v>401</v>
      </c>
      <c r="C22" s="17">
        <f>'Packing material requirement'!B13</f>
        <v>124600</v>
      </c>
      <c r="E22" s="17">
        <v>7</v>
      </c>
      <c r="F22" s="19">
        <v>45966</v>
      </c>
      <c r="G22" s="19">
        <f t="shared" si="2"/>
        <v>45974</v>
      </c>
    </row>
    <row r="23" spans="1:7" x14ac:dyDescent="0.3">
      <c r="B23" s="17" t="s">
        <v>402</v>
      </c>
      <c r="C23" s="17">
        <f>'Packing material requirement'!B14</f>
        <v>176400</v>
      </c>
      <c r="E23" s="17">
        <v>7</v>
      </c>
      <c r="F23" s="19">
        <v>45966</v>
      </c>
      <c r="G23" s="19">
        <f t="shared" si="2"/>
        <v>45974</v>
      </c>
    </row>
    <row r="24" spans="1:7" x14ac:dyDescent="0.3">
      <c r="B24" s="17" t="s">
        <v>399</v>
      </c>
      <c r="C24" s="17">
        <f>'Sunglasses BOM'!E3</f>
        <v>747600</v>
      </c>
      <c r="E24" s="17">
        <v>12</v>
      </c>
      <c r="F24" s="19">
        <v>45961</v>
      </c>
      <c r="G24" s="19">
        <f t="shared" si="2"/>
        <v>45975</v>
      </c>
    </row>
    <row r="25" spans="1:7" x14ac:dyDescent="0.3">
      <c r="B25" s="17" t="s">
        <v>400</v>
      </c>
      <c r="C25" s="17">
        <f>'Sunglasses BOM'!E2</f>
        <v>1058400</v>
      </c>
      <c r="E25" s="17">
        <v>12</v>
      </c>
      <c r="F25" s="19">
        <v>45961</v>
      </c>
      <c r="G25" s="19">
        <f t="shared" si="2"/>
        <v>45975</v>
      </c>
    </row>
    <row r="26" spans="1:7" x14ac:dyDescent="0.3">
      <c r="B26" s="17" t="s">
        <v>396</v>
      </c>
      <c r="E26" s="17">
        <v>8</v>
      </c>
      <c r="F26" s="19">
        <v>45966</v>
      </c>
      <c r="G26" s="19">
        <f t="shared" ref="G26:G27" si="3">WORKDAY.INTL(F26, E26, "0010000")</f>
        <v>45975</v>
      </c>
    </row>
    <row r="27" spans="1:7" x14ac:dyDescent="0.3">
      <c r="B27" s="17" t="s">
        <v>320</v>
      </c>
      <c r="E27" s="17">
        <v>8</v>
      </c>
      <c r="F27" s="19">
        <v>45966</v>
      </c>
      <c r="G27" s="19">
        <f t="shared" si="3"/>
        <v>45975</v>
      </c>
    </row>
    <row r="28" spans="1:7" x14ac:dyDescent="0.3">
      <c r="B28" s="17" t="s">
        <v>366</v>
      </c>
      <c r="E28" s="17">
        <v>7</v>
      </c>
      <c r="F28" s="19">
        <v>45966</v>
      </c>
      <c r="G28" s="19">
        <f t="shared" si="2"/>
        <v>45974</v>
      </c>
    </row>
    <row r="29" spans="1:7" x14ac:dyDescent="0.3">
      <c r="B29" s="17" t="s">
        <v>386</v>
      </c>
      <c r="E29" s="17">
        <v>7</v>
      </c>
      <c r="F29" s="19">
        <v>45966</v>
      </c>
      <c r="G29" s="19">
        <f>WORKDAY.INTL(F29, E29, "0010000")</f>
        <v>45974</v>
      </c>
    </row>
    <row r="30" spans="1:7" x14ac:dyDescent="0.3">
      <c r="B30" s="17" t="s">
        <v>397</v>
      </c>
      <c r="C30" s="17">
        <f>'Packing material requirement'!B4</f>
        <v>2492</v>
      </c>
      <c r="E30" s="17">
        <v>10</v>
      </c>
      <c r="F30" s="19">
        <v>45967</v>
      </c>
      <c r="G30" s="19">
        <f>WORKDAY.INTL(F30, E30, "0010000")</f>
        <v>45978</v>
      </c>
    </row>
    <row r="31" spans="1:7" x14ac:dyDescent="0.3">
      <c r="B31" s="17" t="s">
        <v>398</v>
      </c>
      <c r="C31" s="17">
        <f>'Packing material requirement'!B7</f>
        <v>3528</v>
      </c>
      <c r="E31" s="17">
        <v>10</v>
      </c>
      <c r="F31" s="19">
        <v>45967</v>
      </c>
      <c r="G31" s="19">
        <f>WORKDAY.INTL(F31, E31, "0010000")</f>
        <v>45978</v>
      </c>
    </row>
    <row r="32" spans="1:7" x14ac:dyDescent="0.3">
      <c r="F32" s="19"/>
      <c r="G32" s="19"/>
    </row>
    <row r="33" spans="1:7" x14ac:dyDescent="0.3">
      <c r="A33" s="17" t="s">
        <v>345</v>
      </c>
      <c r="B33" s="17" t="s">
        <v>347</v>
      </c>
      <c r="C33" s="26">
        <f>'Mold Daily Output'!F12</f>
        <v>26400</v>
      </c>
      <c r="D33" s="26">
        <f>'Sunglasses BOM'!E3</f>
        <v>747600</v>
      </c>
      <c r="E33" s="26">
        <f>D33/C33</f>
        <v>28.318181818181817</v>
      </c>
      <c r="F33" s="19">
        <v>45973</v>
      </c>
      <c r="G33" s="19">
        <f>WORKDAY.INTL(F33, E33, "0010000")</f>
        <v>46005</v>
      </c>
    </row>
    <row r="34" spans="1:7" x14ac:dyDescent="0.3">
      <c r="B34" s="17" t="s">
        <v>348</v>
      </c>
      <c r="C34" s="26">
        <f>'Mold Daily Output'!F7</f>
        <v>25536</v>
      </c>
      <c r="D34" s="26">
        <f>'Sunglasses BOM'!E3</f>
        <v>747600</v>
      </c>
      <c r="E34" s="26">
        <f t="shared" ref="E34" si="4">D34/C34</f>
        <v>29.276315789473685</v>
      </c>
      <c r="F34" s="19">
        <v>45973</v>
      </c>
      <c r="G34" s="19">
        <f t="shared" ref="G34:G36" si="5">WORKDAY.INTL(F34, E34, "0010000")</f>
        <v>46006</v>
      </c>
    </row>
    <row r="35" spans="1:7" x14ac:dyDescent="0.3">
      <c r="B35" s="17" t="s">
        <v>349</v>
      </c>
      <c r="C35" s="26">
        <f>'Mold Daily Output'!F24</f>
        <v>28320</v>
      </c>
      <c r="D35" s="26">
        <f>'Sunglasses BOM'!E2</f>
        <v>1058400</v>
      </c>
      <c r="E35" s="26">
        <v>43</v>
      </c>
      <c r="F35" s="19">
        <v>45973</v>
      </c>
      <c r="G35" s="19">
        <f t="shared" si="5"/>
        <v>46023</v>
      </c>
    </row>
    <row r="36" spans="1:7" x14ac:dyDescent="0.3">
      <c r="B36" s="17" t="s">
        <v>350</v>
      </c>
      <c r="C36" s="26">
        <f>'Mold Daily Output'!F19</f>
        <v>27456</v>
      </c>
      <c r="D36" s="26">
        <f>'Sunglasses BOM'!E2</f>
        <v>1058400</v>
      </c>
      <c r="E36" s="26">
        <v>43</v>
      </c>
      <c r="F36" s="19">
        <v>45973</v>
      </c>
      <c r="G36" s="19">
        <f t="shared" si="5"/>
        <v>46023</v>
      </c>
    </row>
    <row r="37" spans="1:7" x14ac:dyDescent="0.3">
      <c r="G37" s="19"/>
    </row>
    <row r="38" spans="1:7" x14ac:dyDescent="0.3">
      <c r="A38" s="17" t="s">
        <v>353</v>
      </c>
      <c r="G38" s="19"/>
    </row>
    <row r="39" spans="1:7" x14ac:dyDescent="0.3">
      <c r="B39" s="28" t="s">
        <v>367</v>
      </c>
      <c r="C39" s="26">
        <f>'Final Processes daily output'!F6/2</f>
        <v>13500</v>
      </c>
      <c r="D39" s="26">
        <f>'Sunglasses BOM'!E3</f>
        <v>747600</v>
      </c>
      <c r="E39" s="26">
        <f>D39/C39</f>
        <v>55.37777777777778</v>
      </c>
      <c r="F39" s="19">
        <v>45976</v>
      </c>
      <c r="G39" s="19">
        <f>WORKDAY.INTL(F39, E39, "0000001")</f>
        <v>46041</v>
      </c>
    </row>
    <row r="40" spans="1:7" x14ac:dyDescent="0.3">
      <c r="B40" s="28" t="s">
        <v>368</v>
      </c>
      <c r="C40" s="26">
        <f>'Final Processes daily output'!F6/2</f>
        <v>13500</v>
      </c>
      <c r="D40" s="26">
        <f>'Sunglasses BOM'!E2</f>
        <v>1058400</v>
      </c>
      <c r="E40" s="26">
        <f>D40/C40</f>
        <v>78.400000000000006</v>
      </c>
      <c r="F40" s="19">
        <v>45976</v>
      </c>
      <c r="G40" s="19">
        <f t="shared" ref="G40:G54" si="6">WORKDAY.INTL(F40, E40, "0000001")</f>
        <v>46067</v>
      </c>
    </row>
    <row r="41" spans="1:7" x14ac:dyDescent="0.3">
      <c r="A41" s="17" t="s">
        <v>354</v>
      </c>
      <c r="G41" s="19"/>
    </row>
    <row r="42" spans="1:7" x14ac:dyDescent="0.3">
      <c r="B42" s="28" t="s">
        <v>355</v>
      </c>
      <c r="C42" s="17">
        <v>21000</v>
      </c>
      <c r="D42" s="17">
        <f>'Sunglasses BOM'!E2</f>
        <v>1058400</v>
      </c>
      <c r="E42" s="26">
        <f>D42/C42</f>
        <v>50.4</v>
      </c>
      <c r="F42" s="19">
        <v>45976</v>
      </c>
      <c r="G42" s="29">
        <f t="shared" si="6"/>
        <v>46035</v>
      </c>
    </row>
    <row r="43" spans="1:7" x14ac:dyDescent="0.3">
      <c r="B43" s="28" t="s">
        <v>369</v>
      </c>
      <c r="C43" s="17">
        <v>7200</v>
      </c>
      <c r="D43" s="17">
        <v>142000</v>
      </c>
      <c r="E43" s="26">
        <f>D43/C43</f>
        <v>19.722222222222221</v>
      </c>
      <c r="F43" s="19">
        <v>45976</v>
      </c>
      <c r="G43" s="19">
        <f t="shared" si="6"/>
        <v>45999</v>
      </c>
    </row>
    <row r="44" spans="1:7" x14ac:dyDescent="0.3">
      <c r="A44" s="17" t="s">
        <v>353</v>
      </c>
      <c r="E44" s="26"/>
      <c r="F44" s="19"/>
      <c r="G44" s="19"/>
    </row>
    <row r="45" spans="1:7" x14ac:dyDescent="0.3">
      <c r="B45" s="28" t="s">
        <v>382</v>
      </c>
      <c r="C45" s="26">
        <f>'Final Processes daily output'!F15/2</f>
        <v>20571.428571428569</v>
      </c>
      <c r="D45" s="17">
        <f>'Sunglasses BOM'!E3</f>
        <v>747600</v>
      </c>
      <c r="E45" s="26">
        <f t="shared" ref="E45:E47" si="7">D45/C45</f>
        <v>36.341666666666669</v>
      </c>
      <c r="F45" s="19">
        <v>45978</v>
      </c>
      <c r="G45" s="19">
        <f t="shared" si="6"/>
        <v>46020</v>
      </c>
    </row>
    <row r="46" spans="1:7" x14ac:dyDescent="0.3">
      <c r="B46" s="28" t="s">
        <v>383</v>
      </c>
      <c r="C46" s="26">
        <f>'Final Processes daily output'!F15/2</f>
        <v>20571.428571428569</v>
      </c>
      <c r="D46" s="17">
        <f>'Sunglasses BOM'!E2</f>
        <v>1058400</v>
      </c>
      <c r="E46" s="26">
        <f t="shared" si="7"/>
        <v>51.45000000000001</v>
      </c>
      <c r="F46" s="19">
        <v>45979</v>
      </c>
      <c r="G46" s="29">
        <f t="shared" si="6"/>
        <v>46038</v>
      </c>
    </row>
    <row r="47" spans="1:7" x14ac:dyDescent="0.3">
      <c r="B47" s="17" t="s">
        <v>384</v>
      </c>
      <c r="C47" s="26">
        <f>'Final Processes daily output'!F18/2</f>
        <v>15840</v>
      </c>
      <c r="D47" s="17">
        <f>'Sunglasses BOM'!E3</f>
        <v>747600</v>
      </c>
      <c r="E47" s="26">
        <f t="shared" si="7"/>
        <v>47.196969696969695</v>
      </c>
      <c r="F47" s="19">
        <v>45980</v>
      </c>
      <c r="G47" s="19">
        <f t="shared" si="6"/>
        <v>46035</v>
      </c>
    </row>
    <row r="48" spans="1:7" x14ac:dyDescent="0.3">
      <c r="B48" s="17" t="s">
        <v>385</v>
      </c>
      <c r="C48" s="26">
        <f>'Final Processes daily output'!F18/2</f>
        <v>15840</v>
      </c>
      <c r="D48" s="17">
        <f>'Sunglasses BOM'!E2</f>
        <v>1058400</v>
      </c>
      <c r="E48" s="26">
        <f t="shared" ref="E48:E54" si="8">D48/C48</f>
        <v>66.818181818181813</v>
      </c>
      <c r="F48" s="19">
        <v>45976</v>
      </c>
      <c r="G48" s="19">
        <f t="shared" si="6"/>
        <v>46053</v>
      </c>
    </row>
    <row r="49" spans="2:7" x14ac:dyDescent="0.3">
      <c r="B49" s="17" t="s">
        <v>378</v>
      </c>
      <c r="C49" s="26">
        <f>'Final Processes daily output'!F24</f>
        <v>30240</v>
      </c>
      <c r="D49" s="26">
        <f>'Sunglasses BOM'!E3</f>
        <v>747600</v>
      </c>
      <c r="E49" s="26">
        <f t="shared" si="8"/>
        <v>24.722222222222221</v>
      </c>
      <c r="F49" s="19">
        <v>45976</v>
      </c>
      <c r="G49" s="19">
        <f t="shared" si="6"/>
        <v>46004</v>
      </c>
    </row>
    <row r="50" spans="2:7" x14ac:dyDescent="0.3">
      <c r="B50" s="17" t="s">
        <v>381</v>
      </c>
      <c r="C50" s="26">
        <f>'Final Processes daily output'!F24</f>
        <v>30240</v>
      </c>
      <c r="D50" s="26">
        <f>'Sunglasses BOM'!E2</f>
        <v>1058400</v>
      </c>
      <c r="E50" s="26">
        <f t="shared" si="8"/>
        <v>35</v>
      </c>
      <c r="F50" s="19">
        <v>45976</v>
      </c>
      <c r="G50" s="19">
        <f t="shared" si="6"/>
        <v>46017</v>
      </c>
    </row>
    <row r="51" spans="2:7" x14ac:dyDescent="0.3">
      <c r="B51" s="17" t="s">
        <v>379</v>
      </c>
      <c r="C51" s="26">
        <f>'Final Processes daily output'!F30</f>
        <v>29160</v>
      </c>
      <c r="D51" s="26">
        <f>'Sunglasses BOM'!E3</f>
        <v>747600</v>
      </c>
      <c r="E51" s="26">
        <f t="shared" si="8"/>
        <v>25.637860082304528</v>
      </c>
      <c r="F51" s="19">
        <v>45980</v>
      </c>
      <c r="G51" s="19">
        <f t="shared" si="6"/>
        <v>46009</v>
      </c>
    </row>
    <row r="52" spans="2:7" x14ac:dyDescent="0.3">
      <c r="B52" s="17" t="s">
        <v>380</v>
      </c>
      <c r="C52" s="26">
        <f>'Final Processes daily output'!F30</f>
        <v>29160</v>
      </c>
      <c r="D52" s="26">
        <f>'Sunglasses BOM'!E2</f>
        <v>1058400</v>
      </c>
      <c r="E52" s="26">
        <f t="shared" si="8"/>
        <v>36.296296296296298</v>
      </c>
      <c r="F52" s="19">
        <v>45980</v>
      </c>
      <c r="G52" s="19">
        <f t="shared" si="6"/>
        <v>46022</v>
      </c>
    </row>
    <row r="53" spans="2:7" ht="28.8" x14ac:dyDescent="0.3">
      <c r="B53" s="17" t="s">
        <v>376</v>
      </c>
      <c r="C53" s="26">
        <f>'Final Processes daily output'!F36</f>
        <v>24300</v>
      </c>
      <c r="D53" s="17">
        <f>D39/6</f>
        <v>124600</v>
      </c>
      <c r="E53" s="26">
        <f t="shared" si="8"/>
        <v>5.1275720164609053</v>
      </c>
      <c r="F53" s="19">
        <v>46006</v>
      </c>
      <c r="G53" s="19">
        <f t="shared" si="6"/>
        <v>46011</v>
      </c>
    </row>
    <row r="54" spans="2:7" ht="28.8" x14ac:dyDescent="0.3">
      <c r="B54" s="17" t="s">
        <v>377</v>
      </c>
      <c r="C54" s="26">
        <f>'Final Processes daily output'!F36</f>
        <v>24300</v>
      </c>
      <c r="D54" s="17">
        <f>D40/6</f>
        <v>176400</v>
      </c>
      <c r="E54" s="26">
        <f t="shared" si="8"/>
        <v>7.2592592592592595</v>
      </c>
      <c r="F54" s="19">
        <v>46009</v>
      </c>
      <c r="G54" s="19">
        <f t="shared" si="6"/>
        <v>46017</v>
      </c>
    </row>
  </sheetData>
  <pageMargins left="0.7" right="0.7" top="0.75" bottom="0.75" header="0.3" footer="0.3"/>
  <ignoredErrors>
    <ignoredError sqref="D46:D49 D51"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9D18-DEF3-485E-AB6B-E5582F91BD5C}">
  <dimension ref="A1:I9"/>
  <sheetViews>
    <sheetView workbookViewId="0">
      <selection activeCell="F12" sqref="F12"/>
    </sheetView>
  </sheetViews>
  <sheetFormatPr defaultColWidth="8.88671875" defaultRowHeight="14.4" x14ac:dyDescent="0.3"/>
  <cols>
    <col min="1" max="1" width="27.77734375" style="17" bestFit="1" customWidth="1"/>
    <col min="2" max="2" width="26" style="17" bestFit="1" customWidth="1"/>
    <col min="3" max="3" width="24.6640625" style="17" customWidth="1"/>
    <col min="4" max="4" width="14.77734375" style="17" bestFit="1" customWidth="1"/>
    <col min="5" max="5" width="22.109375" style="17" bestFit="1" customWidth="1"/>
    <col min="6" max="6" width="30.77734375" style="17" bestFit="1" customWidth="1"/>
    <col min="7" max="7" width="16.88671875" style="17" bestFit="1" customWidth="1"/>
    <col min="8" max="8" width="16.5546875" style="17" bestFit="1" customWidth="1"/>
    <col min="9" max="16384" width="8.88671875" style="17"/>
  </cols>
  <sheetData>
    <row r="1" spans="1:9" x14ac:dyDescent="0.3">
      <c r="A1" s="17" t="s">
        <v>207</v>
      </c>
      <c r="B1" s="17" t="s">
        <v>208</v>
      </c>
      <c r="C1" s="17" t="s">
        <v>217</v>
      </c>
      <c r="D1" s="17" t="s">
        <v>218</v>
      </c>
      <c r="E1" s="17" t="s">
        <v>219</v>
      </c>
      <c r="F1" s="17" t="s">
        <v>220</v>
      </c>
      <c r="G1" s="17" t="s">
        <v>221</v>
      </c>
      <c r="H1" s="17" t="s">
        <v>222</v>
      </c>
      <c r="I1" s="17" t="s">
        <v>223</v>
      </c>
    </row>
    <row r="2" spans="1:9" x14ac:dyDescent="0.3">
      <c r="A2" s="17" t="s">
        <v>209</v>
      </c>
      <c r="B2" s="17" t="s">
        <v>211</v>
      </c>
      <c r="C2" s="17" t="s">
        <v>210</v>
      </c>
      <c r="D2" s="17" t="s">
        <v>212</v>
      </c>
      <c r="E2" s="17" t="s">
        <v>213</v>
      </c>
      <c r="F2" s="17" t="s">
        <v>214</v>
      </c>
      <c r="G2" s="17" t="s">
        <v>215</v>
      </c>
      <c r="H2" s="17" t="s">
        <v>216</v>
      </c>
    </row>
    <row r="3" spans="1:9" ht="28.8" x14ac:dyDescent="0.3">
      <c r="A3" s="17" t="s">
        <v>224</v>
      </c>
      <c r="B3" s="17" t="s">
        <v>225</v>
      </c>
      <c r="C3" s="17" t="s">
        <v>226</v>
      </c>
      <c r="D3" s="17" t="s">
        <v>227</v>
      </c>
      <c r="E3" s="17" t="s">
        <v>228</v>
      </c>
      <c r="F3" s="17" t="s">
        <v>229</v>
      </c>
      <c r="G3" s="17" t="s">
        <v>230</v>
      </c>
    </row>
    <row r="4" spans="1:9" ht="43.2" x14ac:dyDescent="0.3">
      <c r="A4" s="17" t="s">
        <v>231</v>
      </c>
      <c r="B4" s="17" t="s">
        <v>236</v>
      </c>
      <c r="C4" s="17" t="s">
        <v>232</v>
      </c>
      <c r="D4" s="17" t="s">
        <v>233</v>
      </c>
      <c r="E4" s="17" t="s">
        <v>234</v>
      </c>
    </row>
    <row r="5" spans="1:9" ht="43.2" x14ac:dyDescent="0.3">
      <c r="A5" s="17" t="s">
        <v>235</v>
      </c>
      <c r="B5" s="17" t="s">
        <v>236</v>
      </c>
      <c r="C5" s="17" t="s">
        <v>232</v>
      </c>
      <c r="D5" s="17" t="s">
        <v>233</v>
      </c>
      <c r="E5" s="17" t="s">
        <v>234</v>
      </c>
    </row>
    <row r="6" spans="1:9" ht="72" x14ac:dyDescent="0.3">
      <c r="A6" s="17" t="s">
        <v>237</v>
      </c>
      <c r="B6" s="17" t="s">
        <v>236</v>
      </c>
      <c r="C6" s="17" t="s">
        <v>238</v>
      </c>
      <c r="D6" s="17" t="s">
        <v>233</v>
      </c>
      <c r="E6" s="17" t="s">
        <v>234</v>
      </c>
    </row>
    <row r="7" spans="1:9" ht="57.6" x14ac:dyDescent="0.3">
      <c r="A7" s="17" t="s">
        <v>239</v>
      </c>
      <c r="B7" s="17" t="s">
        <v>240</v>
      </c>
      <c r="C7" s="17" t="s">
        <v>241</v>
      </c>
      <c r="D7" s="17" t="s">
        <v>242</v>
      </c>
      <c r="E7" s="17" t="s">
        <v>243</v>
      </c>
      <c r="F7" s="17" t="s">
        <v>234</v>
      </c>
    </row>
    <row r="8" spans="1:9" ht="49.8" customHeight="1" x14ac:dyDescent="0.3">
      <c r="A8" s="17" t="s">
        <v>245</v>
      </c>
      <c r="B8" s="17" t="s">
        <v>244</v>
      </c>
      <c r="C8" s="17" t="s">
        <v>241</v>
      </c>
      <c r="D8" s="17" t="s">
        <v>246</v>
      </c>
    </row>
    <row r="9" spans="1:9" ht="43.2" x14ac:dyDescent="0.3">
      <c r="A9" s="17" t="s">
        <v>258</v>
      </c>
      <c r="B9" s="17" t="s">
        <v>259</v>
      </c>
      <c r="C9" s="17" t="s">
        <v>260</v>
      </c>
      <c r="D9" s="17" t="s">
        <v>261</v>
      </c>
    </row>
  </sheetData>
  <phoneticPr fontId="4"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11052-7EA8-4209-A205-8F3998EFFE8A}">
  <dimension ref="A1:M14"/>
  <sheetViews>
    <sheetView workbookViewId="0">
      <selection activeCell="H12" sqref="H12"/>
    </sheetView>
  </sheetViews>
  <sheetFormatPr defaultRowHeight="14.4" x14ac:dyDescent="0.3"/>
  <cols>
    <col min="1" max="1" width="29.77734375" bestFit="1" customWidth="1"/>
    <col min="2" max="2" width="23.44140625" bestFit="1" customWidth="1"/>
    <col min="3" max="6" width="22.44140625" customWidth="1"/>
    <col min="7" max="7" width="15" customWidth="1"/>
    <col min="8" max="8" width="29.5546875" customWidth="1"/>
    <col min="9" max="9" width="14.33203125" bestFit="1" customWidth="1"/>
    <col min="10" max="10" width="21.77734375" customWidth="1"/>
    <col min="12" max="12" width="13.77734375" bestFit="1" customWidth="1"/>
    <col min="13" max="13" width="24.88671875" customWidth="1"/>
  </cols>
  <sheetData>
    <row r="1" spans="1:13" x14ac:dyDescent="0.3">
      <c r="A1" t="s">
        <v>247</v>
      </c>
      <c r="B1" t="s">
        <v>262</v>
      </c>
      <c r="C1" t="s">
        <v>264</v>
      </c>
      <c r="D1" t="s">
        <v>295</v>
      </c>
      <c r="E1" t="s">
        <v>296</v>
      </c>
      <c r="F1" t="s">
        <v>265</v>
      </c>
      <c r="G1" t="s">
        <v>248</v>
      </c>
      <c r="H1" t="s">
        <v>249</v>
      </c>
      <c r="I1" t="s">
        <v>280</v>
      </c>
      <c r="J1" t="s">
        <v>292</v>
      </c>
      <c r="L1" t="s">
        <v>256</v>
      </c>
    </row>
    <row r="2" spans="1:13" ht="43.2" x14ac:dyDescent="0.3">
      <c r="A2" t="s">
        <v>250</v>
      </c>
      <c r="B2" t="s">
        <v>263</v>
      </c>
      <c r="C2" t="s">
        <v>266</v>
      </c>
      <c r="F2" t="s">
        <v>267</v>
      </c>
      <c r="G2" t="s">
        <v>251</v>
      </c>
      <c r="H2" s="17" t="s">
        <v>252</v>
      </c>
      <c r="I2" t="s">
        <v>281</v>
      </c>
      <c r="L2" t="s">
        <v>298</v>
      </c>
      <c r="M2" s="17" t="s">
        <v>257</v>
      </c>
    </row>
    <row r="3" spans="1:13" ht="86.4" x14ac:dyDescent="0.3">
      <c r="A3" t="s">
        <v>268</v>
      </c>
      <c r="B3" t="s">
        <v>273</v>
      </c>
      <c r="C3" t="s">
        <v>302</v>
      </c>
      <c r="D3" s="20">
        <v>45958</v>
      </c>
      <c r="E3" s="20">
        <v>45971</v>
      </c>
      <c r="F3" t="s">
        <v>271</v>
      </c>
      <c r="G3" t="s">
        <v>269</v>
      </c>
      <c r="H3" s="17" t="s">
        <v>274</v>
      </c>
      <c r="I3" t="s">
        <v>282</v>
      </c>
      <c r="L3" s="20">
        <v>46023</v>
      </c>
      <c r="M3" t="s">
        <v>394</v>
      </c>
    </row>
    <row r="4" spans="1:13" ht="72" x14ac:dyDescent="0.3">
      <c r="A4" t="s">
        <v>272</v>
      </c>
      <c r="B4" t="s">
        <v>273</v>
      </c>
      <c r="C4" t="s">
        <v>302</v>
      </c>
      <c r="D4" s="20">
        <v>45958</v>
      </c>
      <c r="E4" s="20">
        <v>45971</v>
      </c>
      <c r="F4" t="s">
        <v>271</v>
      </c>
      <c r="G4" t="s">
        <v>269</v>
      </c>
      <c r="H4" s="17" t="s">
        <v>278</v>
      </c>
      <c r="I4" t="s">
        <v>282</v>
      </c>
      <c r="L4" s="20">
        <v>46036</v>
      </c>
      <c r="M4" t="s">
        <v>395</v>
      </c>
    </row>
    <row r="5" spans="1:13" ht="72" x14ac:dyDescent="0.3">
      <c r="A5" t="s">
        <v>275</v>
      </c>
      <c r="B5" t="s">
        <v>276</v>
      </c>
      <c r="C5" s="18" t="s">
        <v>302</v>
      </c>
      <c r="D5" s="20">
        <v>45958</v>
      </c>
      <c r="E5" s="20">
        <v>45971</v>
      </c>
      <c r="F5" t="s">
        <v>271</v>
      </c>
      <c r="G5" t="s">
        <v>269</v>
      </c>
      <c r="H5" s="17" t="s">
        <v>279</v>
      </c>
      <c r="I5" t="s">
        <v>282</v>
      </c>
    </row>
    <row r="6" spans="1:13" ht="43.2" x14ac:dyDescent="0.3">
      <c r="A6" t="s">
        <v>283</v>
      </c>
      <c r="B6" t="s">
        <v>284</v>
      </c>
      <c r="C6" s="17" t="s">
        <v>270</v>
      </c>
      <c r="D6" s="19">
        <v>45976</v>
      </c>
      <c r="E6" s="19">
        <v>45986</v>
      </c>
      <c r="F6" t="s">
        <v>267</v>
      </c>
      <c r="G6" t="s">
        <v>285</v>
      </c>
      <c r="H6" s="17" t="s">
        <v>286</v>
      </c>
    </row>
    <row r="7" spans="1:13" ht="43.2" x14ac:dyDescent="0.3">
      <c r="A7" t="s">
        <v>390</v>
      </c>
      <c r="B7" t="s">
        <v>284</v>
      </c>
      <c r="C7" s="17" t="s">
        <v>270</v>
      </c>
      <c r="D7" s="19">
        <v>45976</v>
      </c>
      <c r="E7" s="19">
        <v>45986</v>
      </c>
      <c r="F7" t="s">
        <v>267</v>
      </c>
      <c r="G7" t="s">
        <v>285</v>
      </c>
      <c r="H7" s="17" t="s">
        <v>286</v>
      </c>
    </row>
    <row r="8" spans="1:13" ht="43.2" x14ac:dyDescent="0.3">
      <c r="A8" t="s">
        <v>297</v>
      </c>
      <c r="B8" t="s">
        <v>284</v>
      </c>
      <c r="C8" s="17" t="s">
        <v>388</v>
      </c>
      <c r="D8" s="19">
        <v>45976</v>
      </c>
      <c r="E8" s="19">
        <f>D8+20</f>
        <v>45996</v>
      </c>
      <c r="F8" t="s">
        <v>267</v>
      </c>
      <c r="G8" t="s">
        <v>285</v>
      </c>
      <c r="H8" s="17" t="s">
        <v>286</v>
      </c>
    </row>
    <row r="9" spans="1:13" ht="100.8" x14ac:dyDescent="0.3">
      <c r="A9" t="s">
        <v>387</v>
      </c>
      <c r="B9" t="s">
        <v>284</v>
      </c>
      <c r="C9" s="17" t="s">
        <v>388</v>
      </c>
      <c r="D9" s="19">
        <v>45976</v>
      </c>
      <c r="E9" s="19">
        <f>D9+20</f>
        <v>45996</v>
      </c>
      <c r="F9" t="s">
        <v>267</v>
      </c>
      <c r="G9" t="s">
        <v>285</v>
      </c>
      <c r="H9" s="17" t="s">
        <v>389</v>
      </c>
    </row>
    <row r="10" spans="1:13" ht="72" x14ac:dyDescent="0.3">
      <c r="A10" t="s">
        <v>287</v>
      </c>
      <c r="B10" t="s">
        <v>288</v>
      </c>
      <c r="C10">
        <v>7</v>
      </c>
      <c r="D10" s="20">
        <v>45962</v>
      </c>
      <c r="E10" s="19">
        <f>D10+20</f>
        <v>45982</v>
      </c>
      <c r="F10" t="s">
        <v>267</v>
      </c>
      <c r="G10" t="s">
        <v>269</v>
      </c>
      <c r="H10" s="17" t="s">
        <v>393</v>
      </c>
      <c r="I10" s="20">
        <v>45962</v>
      </c>
    </row>
    <row r="11" spans="1:13" ht="28.8" x14ac:dyDescent="0.3">
      <c r="A11" t="s">
        <v>391</v>
      </c>
      <c r="B11" t="s">
        <v>284</v>
      </c>
      <c r="C11">
        <v>7</v>
      </c>
      <c r="D11" s="20">
        <v>45962</v>
      </c>
      <c r="E11" s="19">
        <f>D11+20</f>
        <v>45982</v>
      </c>
      <c r="F11" t="s">
        <v>267</v>
      </c>
      <c r="G11" t="s">
        <v>269</v>
      </c>
      <c r="H11" s="17" t="s">
        <v>392</v>
      </c>
      <c r="I11" s="20">
        <v>45962</v>
      </c>
    </row>
    <row r="12" spans="1:13" ht="57.6" x14ac:dyDescent="0.3">
      <c r="A12" t="s">
        <v>289</v>
      </c>
      <c r="B12" t="s">
        <v>290</v>
      </c>
      <c r="F12" t="s">
        <v>291</v>
      </c>
      <c r="G12" t="s">
        <v>269</v>
      </c>
      <c r="H12" s="17" t="s">
        <v>300</v>
      </c>
      <c r="I12" s="20">
        <v>45961</v>
      </c>
      <c r="J12" s="17" t="s">
        <v>293</v>
      </c>
    </row>
    <row r="13" spans="1:13" ht="43.2" x14ac:dyDescent="0.3">
      <c r="A13" t="s">
        <v>294</v>
      </c>
      <c r="B13" t="s">
        <v>290</v>
      </c>
      <c r="C13" t="s">
        <v>277</v>
      </c>
      <c r="F13" t="s">
        <v>291</v>
      </c>
      <c r="G13" t="s">
        <v>269</v>
      </c>
      <c r="H13" s="17" t="s">
        <v>299</v>
      </c>
      <c r="I13" s="20">
        <v>45961</v>
      </c>
      <c r="J13" t="s">
        <v>301</v>
      </c>
    </row>
    <row r="14" spans="1:13" ht="41.4" customHeight="1" x14ac:dyDescent="0.3">
      <c r="A14" t="s">
        <v>253</v>
      </c>
      <c r="G14" t="s">
        <v>254</v>
      </c>
      <c r="H14" s="17" t="s">
        <v>255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D6F9D-F9D3-4AAE-AF10-6A5964DB56CD}">
  <dimension ref="A1:J22"/>
  <sheetViews>
    <sheetView workbookViewId="0">
      <selection activeCell="A20" sqref="A20:B22"/>
    </sheetView>
  </sheetViews>
  <sheetFormatPr defaultRowHeight="14.4" x14ac:dyDescent="0.3"/>
  <cols>
    <col min="1" max="1" width="35.33203125" bestFit="1" customWidth="1"/>
    <col min="2" max="2" width="11.88671875" bestFit="1" customWidth="1"/>
    <col min="8" max="8" width="7.77734375" bestFit="1" customWidth="1"/>
    <col min="9" max="9" width="13.21875" customWidth="1"/>
    <col min="10" max="10" width="26.21875" bestFit="1" customWidth="1"/>
  </cols>
  <sheetData>
    <row r="1" spans="1:10" x14ac:dyDescent="0.3">
      <c r="A1" t="s">
        <v>190</v>
      </c>
      <c r="B1">
        <f>'Sunglasses BOM'!E4</f>
        <v>1806000</v>
      </c>
      <c r="H1" s="15" t="s">
        <v>1</v>
      </c>
      <c r="I1" s="15" t="s">
        <v>4</v>
      </c>
      <c r="J1" s="15" t="s">
        <v>191</v>
      </c>
    </row>
    <row r="2" spans="1:10" x14ac:dyDescent="0.3">
      <c r="A2" t="s">
        <v>404</v>
      </c>
      <c r="B2">
        <f>'Sunglasses BOM'!E2</f>
        <v>1058400</v>
      </c>
      <c r="H2" s="15">
        <v>1155928</v>
      </c>
      <c r="I2" s="15">
        <v>352800</v>
      </c>
      <c r="J2" s="15">
        <f>I2/300</f>
        <v>1176</v>
      </c>
    </row>
    <row r="3" spans="1:10" x14ac:dyDescent="0.3">
      <c r="A3" t="s">
        <v>403</v>
      </c>
      <c r="B3">
        <f>'Sunglasses BOM'!E3</f>
        <v>747600</v>
      </c>
      <c r="H3" s="15">
        <v>1159052</v>
      </c>
      <c r="I3" s="15">
        <v>352800</v>
      </c>
      <c r="J3" s="15">
        <f t="shared" ref="J3:J11" si="0">I3/300</f>
        <v>1176</v>
      </c>
    </row>
    <row r="4" spans="1:10" x14ac:dyDescent="0.3">
      <c r="A4" t="s">
        <v>405</v>
      </c>
      <c r="B4">
        <f>B3/300</f>
        <v>2492</v>
      </c>
      <c r="H4" s="15">
        <v>1160644</v>
      </c>
      <c r="I4" s="15">
        <v>142800</v>
      </c>
      <c r="J4" s="15">
        <f t="shared" si="0"/>
        <v>476</v>
      </c>
    </row>
    <row r="5" spans="1:10" x14ac:dyDescent="0.3">
      <c r="A5" t="s">
        <v>406</v>
      </c>
      <c r="B5">
        <f>B4*4</f>
        <v>9968</v>
      </c>
      <c r="H5" s="15">
        <v>1160645</v>
      </c>
      <c r="I5" s="15">
        <v>117600</v>
      </c>
      <c r="J5" s="15">
        <f t="shared" si="0"/>
        <v>392</v>
      </c>
    </row>
    <row r="6" spans="1:10" x14ac:dyDescent="0.3">
      <c r="A6" t="s">
        <v>407</v>
      </c>
      <c r="B6">
        <f>B4/2</f>
        <v>1246</v>
      </c>
      <c r="H6" s="15">
        <v>1160647</v>
      </c>
      <c r="I6" s="15">
        <v>92400</v>
      </c>
      <c r="J6" s="15">
        <f t="shared" si="0"/>
        <v>308</v>
      </c>
    </row>
    <row r="7" spans="1:10" x14ac:dyDescent="0.3">
      <c r="A7" t="s">
        <v>408</v>
      </c>
      <c r="B7">
        <f>B2/300</f>
        <v>3528</v>
      </c>
      <c r="H7" s="15">
        <v>1163004</v>
      </c>
      <c r="I7" s="15">
        <v>436800</v>
      </c>
      <c r="J7" s="15">
        <f t="shared" si="0"/>
        <v>1456</v>
      </c>
    </row>
    <row r="8" spans="1:10" x14ac:dyDescent="0.3">
      <c r="A8" t="s">
        <v>409</v>
      </c>
      <c r="B8">
        <f>B7*4</f>
        <v>14112</v>
      </c>
      <c r="H8" s="15">
        <v>1163005</v>
      </c>
      <c r="I8" s="15">
        <v>134400</v>
      </c>
      <c r="J8" s="15">
        <f t="shared" si="0"/>
        <v>448</v>
      </c>
    </row>
    <row r="9" spans="1:10" x14ac:dyDescent="0.3">
      <c r="A9" t="s">
        <v>410</v>
      </c>
      <c r="B9">
        <f>B7/2</f>
        <v>1764</v>
      </c>
      <c r="H9" s="15">
        <v>1163007</v>
      </c>
      <c r="I9" s="15">
        <v>126000</v>
      </c>
      <c r="J9" s="15">
        <f t="shared" si="0"/>
        <v>420</v>
      </c>
    </row>
    <row r="10" spans="1:10" x14ac:dyDescent="0.3">
      <c r="A10" t="s">
        <v>411</v>
      </c>
      <c r="B10">
        <f>B1/300</f>
        <v>6020</v>
      </c>
      <c r="H10" s="15">
        <v>1163008</v>
      </c>
      <c r="I10" s="15">
        <v>33600</v>
      </c>
      <c r="J10" s="15">
        <f t="shared" si="0"/>
        <v>112</v>
      </c>
    </row>
    <row r="11" spans="1:10" x14ac:dyDescent="0.3">
      <c r="A11" t="s">
        <v>412</v>
      </c>
      <c r="B11">
        <f>B10*4</f>
        <v>24080</v>
      </c>
      <c r="H11" s="15">
        <v>1163010</v>
      </c>
      <c r="I11" s="15">
        <v>16800</v>
      </c>
      <c r="J11" s="15">
        <f t="shared" si="0"/>
        <v>56</v>
      </c>
    </row>
    <row r="12" spans="1:10" x14ac:dyDescent="0.3">
      <c r="A12" t="s">
        <v>413</v>
      </c>
      <c r="B12">
        <f>B10/2</f>
        <v>3010</v>
      </c>
    </row>
    <row r="13" spans="1:10" x14ac:dyDescent="0.3">
      <c r="A13" t="s">
        <v>414</v>
      </c>
      <c r="B13">
        <f>B3/6</f>
        <v>124600</v>
      </c>
    </row>
    <row r="14" spans="1:10" x14ac:dyDescent="0.3">
      <c r="A14" t="s">
        <v>415</v>
      </c>
      <c r="B14">
        <f>B2/6</f>
        <v>176400</v>
      </c>
    </row>
    <row r="15" spans="1:10" x14ac:dyDescent="0.3">
      <c r="A15" t="s">
        <v>192</v>
      </c>
      <c r="B15">
        <f>B1/6</f>
        <v>301000</v>
      </c>
    </row>
    <row r="16" spans="1:10" x14ac:dyDescent="0.3">
      <c r="A16" t="s">
        <v>193</v>
      </c>
      <c r="B16" t="s">
        <v>194</v>
      </c>
    </row>
    <row r="17" spans="1:2" x14ac:dyDescent="0.3">
      <c r="A17" t="s">
        <v>195</v>
      </c>
      <c r="B17" t="s">
        <v>196</v>
      </c>
    </row>
    <row r="18" spans="1:2" x14ac:dyDescent="0.3">
      <c r="A18" t="s">
        <v>197</v>
      </c>
      <c r="B18" t="s">
        <v>198</v>
      </c>
    </row>
    <row r="19" spans="1:2" x14ac:dyDescent="0.3">
      <c r="A19" t="s">
        <v>199</v>
      </c>
      <c r="B19" t="s">
        <v>200</v>
      </c>
    </row>
    <row r="20" spans="1:2" x14ac:dyDescent="0.3">
      <c r="A20" t="s">
        <v>201</v>
      </c>
      <c r="B20" t="s">
        <v>202</v>
      </c>
    </row>
    <row r="21" spans="1:2" x14ac:dyDescent="0.3">
      <c r="A21" t="s">
        <v>203</v>
      </c>
      <c r="B21" t="s">
        <v>204</v>
      </c>
    </row>
    <row r="22" spans="1:2" x14ac:dyDescent="0.3">
      <c r="A22" t="s">
        <v>206</v>
      </c>
      <c r="B22" t="s">
        <v>205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D69AF-D443-4741-8AC9-4CAFAA1BFF0F}">
  <dimension ref="A1:M6"/>
  <sheetViews>
    <sheetView workbookViewId="0">
      <selection activeCell="H12" sqref="H12"/>
    </sheetView>
  </sheetViews>
  <sheetFormatPr defaultRowHeight="14.4" x14ac:dyDescent="0.3"/>
  <cols>
    <col min="1" max="1" width="14.88671875" bestFit="1" customWidth="1"/>
    <col min="2" max="2" width="11.5546875" bestFit="1" customWidth="1"/>
    <col min="3" max="3" width="11" bestFit="1" customWidth="1"/>
    <col min="5" max="5" width="14.88671875" bestFit="1" customWidth="1"/>
    <col min="6" max="6" width="11" bestFit="1" customWidth="1"/>
    <col min="8" max="8" width="14.88671875" bestFit="1" customWidth="1"/>
    <col min="9" max="9" width="11" bestFit="1" customWidth="1"/>
  </cols>
  <sheetData>
    <row r="1" spans="1:13" x14ac:dyDescent="0.3">
      <c r="A1" t="s">
        <v>303</v>
      </c>
      <c r="B1" t="s">
        <v>306</v>
      </c>
      <c r="C1" t="s">
        <v>309</v>
      </c>
      <c r="D1" t="s">
        <v>307</v>
      </c>
      <c r="E1" t="s">
        <v>306</v>
      </c>
      <c r="F1" t="s">
        <v>309</v>
      </c>
      <c r="G1" t="s">
        <v>307</v>
      </c>
      <c r="H1" t="s">
        <v>306</v>
      </c>
      <c r="I1" t="s">
        <v>309</v>
      </c>
      <c r="J1" t="s">
        <v>307</v>
      </c>
      <c r="K1" t="s">
        <v>306</v>
      </c>
      <c r="L1" t="s">
        <v>309</v>
      </c>
      <c r="M1" t="s">
        <v>307</v>
      </c>
    </row>
    <row r="2" spans="1:13" x14ac:dyDescent="0.3">
      <c r="A2" t="s">
        <v>304</v>
      </c>
      <c r="B2" t="s">
        <v>305</v>
      </c>
      <c r="C2">
        <v>9842287171</v>
      </c>
      <c r="D2" t="s">
        <v>308</v>
      </c>
      <c r="E2" t="s">
        <v>310</v>
      </c>
      <c r="F2">
        <v>9896198959</v>
      </c>
      <c r="G2" t="s">
        <v>308</v>
      </c>
      <c r="H2" t="s">
        <v>312</v>
      </c>
      <c r="I2">
        <v>9979553734</v>
      </c>
      <c r="J2" t="s">
        <v>313</v>
      </c>
    </row>
    <row r="3" spans="1:13" x14ac:dyDescent="0.3">
      <c r="A3" t="s">
        <v>6</v>
      </c>
      <c r="B3" t="s">
        <v>311</v>
      </c>
      <c r="C3">
        <v>8668378934</v>
      </c>
      <c r="D3" t="s">
        <v>308</v>
      </c>
      <c r="E3" t="s">
        <v>318</v>
      </c>
      <c r="F3">
        <v>9311175474</v>
      </c>
      <c r="G3" t="s">
        <v>313</v>
      </c>
    </row>
    <row r="4" spans="1:13" x14ac:dyDescent="0.3">
      <c r="A4" t="s">
        <v>7</v>
      </c>
      <c r="B4" t="s">
        <v>311</v>
      </c>
      <c r="C4">
        <v>8668378934</v>
      </c>
      <c r="D4" t="s">
        <v>308</v>
      </c>
      <c r="E4" t="s">
        <v>318</v>
      </c>
      <c r="F4">
        <v>9311175474</v>
      </c>
      <c r="G4" t="s">
        <v>313</v>
      </c>
    </row>
    <row r="5" spans="1:13" x14ac:dyDescent="0.3">
      <c r="A5" t="s">
        <v>314</v>
      </c>
      <c r="B5" t="s">
        <v>315</v>
      </c>
      <c r="C5">
        <v>7021037097</v>
      </c>
      <c r="D5" t="s">
        <v>308</v>
      </c>
    </row>
    <row r="6" spans="1:13" x14ac:dyDescent="0.3">
      <c r="A6" t="s">
        <v>316</v>
      </c>
      <c r="B6" t="s">
        <v>317</v>
      </c>
      <c r="C6">
        <v>9969006000</v>
      </c>
      <c r="D6" t="s">
        <v>308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workbookViewId="0">
      <selection activeCell="G20" sqref="G20"/>
    </sheetView>
  </sheetViews>
  <sheetFormatPr defaultColWidth="9.21875" defaultRowHeight="14.4" x14ac:dyDescent="0.3"/>
  <cols>
    <col min="1" max="1" width="17.77734375" style="14" bestFit="1" customWidth="1"/>
    <col min="2" max="2" width="35.77734375" style="14" bestFit="1" customWidth="1"/>
    <col min="3" max="3" width="11.21875" style="14" bestFit="1" customWidth="1"/>
    <col min="4" max="4" width="13.21875" style="14" bestFit="1" customWidth="1"/>
    <col min="5" max="16384" width="9.21875" style="14"/>
  </cols>
  <sheetData>
    <row r="1" spans="1:4" x14ac:dyDescent="0.3">
      <c r="A1" s="12" t="s">
        <v>2</v>
      </c>
      <c r="B1" s="12" t="s">
        <v>3</v>
      </c>
      <c r="C1" s="13" t="s">
        <v>107</v>
      </c>
      <c r="D1" s="12" t="s">
        <v>108</v>
      </c>
    </row>
    <row r="2" spans="1:4" x14ac:dyDescent="0.3">
      <c r="A2" s="15" t="s">
        <v>8</v>
      </c>
      <c r="B2" s="15" t="s">
        <v>9</v>
      </c>
      <c r="C2" s="8" t="s">
        <v>111</v>
      </c>
      <c r="D2" s="15" t="s">
        <v>109</v>
      </c>
    </row>
    <row r="3" spans="1:4" x14ac:dyDescent="0.3">
      <c r="A3" s="15" t="s">
        <v>11</v>
      </c>
      <c r="B3" s="15" t="s">
        <v>12</v>
      </c>
      <c r="C3" s="8" t="s">
        <v>111</v>
      </c>
      <c r="D3" s="15" t="s">
        <v>109</v>
      </c>
    </row>
    <row r="4" spans="1:4" x14ac:dyDescent="0.3">
      <c r="A4" s="15" t="s">
        <v>13</v>
      </c>
      <c r="B4" s="15" t="s">
        <v>14</v>
      </c>
      <c r="C4" s="8" t="s">
        <v>111</v>
      </c>
      <c r="D4" s="15" t="s">
        <v>109</v>
      </c>
    </row>
    <row r="5" spans="1:4" x14ac:dyDescent="0.3">
      <c r="A5" s="15" t="s">
        <v>15</v>
      </c>
      <c r="B5" s="15" t="s">
        <v>16</v>
      </c>
      <c r="C5" s="8" t="s">
        <v>111</v>
      </c>
      <c r="D5" s="15" t="s">
        <v>109</v>
      </c>
    </row>
    <row r="6" spans="1:4" x14ac:dyDescent="0.3">
      <c r="A6" s="15" t="s">
        <v>17</v>
      </c>
      <c r="B6" s="15" t="s">
        <v>18</v>
      </c>
      <c r="C6" s="8" t="s">
        <v>111</v>
      </c>
      <c r="D6" s="15" t="s">
        <v>109</v>
      </c>
    </row>
    <row r="7" spans="1:4" x14ac:dyDescent="0.3">
      <c r="A7" s="15" t="s">
        <v>21</v>
      </c>
      <c r="B7" s="15" t="s">
        <v>22</v>
      </c>
      <c r="C7" s="8" t="s">
        <v>111</v>
      </c>
      <c r="D7" s="15" t="s">
        <v>109</v>
      </c>
    </row>
    <row r="8" spans="1:4" x14ac:dyDescent="0.3">
      <c r="A8" s="15" t="s">
        <v>23</v>
      </c>
      <c r="B8" s="15" t="s">
        <v>24</v>
      </c>
      <c r="C8" s="8" t="s">
        <v>111</v>
      </c>
      <c r="D8" s="15" t="s">
        <v>109</v>
      </c>
    </row>
    <row r="9" spans="1:4" x14ac:dyDescent="0.3">
      <c r="A9" s="15" t="s">
        <v>25</v>
      </c>
      <c r="B9" s="15" t="s">
        <v>26</v>
      </c>
      <c r="C9" s="8" t="s">
        <v>111</v>
      </c>
      <c r="D9" s="15" t="s">
        <v>109</v>
      </c>
    </row>
    <row r="10" spans="1:4" x14ac:dyDescent="0.3">
      <c r="A10" s="15" t="s">
        <v>27</v>
      </c>
      <c r="B10" s="15" t="s">
        <v>28</v>
      </c>
      <c r="C10" s="8" t="s">
        <v>111</v>
      </c>
      <c r="D10" s="15" t="s">
        <v>109</v>
      </c>
    </row>
    <row r="11" spans="1:4" x14ac:dyDescent="0.3">
      <c r="A11" s="15" t="s">
        <v>29</v>
      </c>
      <c r="B11" s="15" t="s">
        <v>30</v>
      </c>
      <c r="C11" s="8" t="s">
        <v>111</v>
      </c>
      <c r="D11" s="15" t="s">
        <v>109</v>
      </c>
    </row>
    <row r="12" spans="1:4" x14ac:dyDescent="0.3">
      <c r="A12" s="15" t="s">
        <v>31</v>
      </c>
      <c r="B12" s="15" t="s">
        <v>32</v>
      </c>
      <c r="C12" s="8" t="s">
        <v>111</v>
      </c>
      <c r="D12" s="15" t="s">
        <v>109</v>
      </c>
    </row>
    <row r="13" spans="1:4" x14ac:dyDescent="0.3">
      <c r="A13" s="15" t="s">
        <v>33</v>
      </c>
      <c r="B13" s="15" t="s">
        <v>34</v>
      </c>
      <c r="C13" s="8" t="s">
        <v>111</v>
      </c>
      <c r="D13" s="15" t="s">
        <v>109</v>
      </c>
    </row>
    <row r="14" spans="1:4" x14ac:dyDescent="0.3">
      <c r="A14" s="15" t="s">
        <v>35</v>
      </c>
      <c r="B14" s="15" t="s">
        <v>36</v>
      </c>
      <c r="C14" s="8" t="s">
        <v>111</v>
      </c>
      <c r="D14" s="15" t="s">
        <v>109</v>
      </c>
    </row>
    <row r="15" spans="1:4" x14ac:dyDescent="0.3">
      <c r="A15" s="15" t="s">
        <v>47</v>
      </c>
      <c r="B15" s="15" t="s">
        <v>48</v>
      </c>
      <c r="C15" s="8" t="s">
        <v>111</v>
      </c>
      <c r="D15" s="15" t="s">
        <v>109</v>
      </c>
    </row>
    <row r="16" spans="1:4" x14ac:dyDescent="0.3">
      <c r="A16" s="15" t="s">
        <v>49</v>
      </c>
      <c r="B16" s="15" t="s">
        <v>50</v>
      </c>
      <c r="C16" s="8" t="s">
        <v>111</v>
      </c>
      <c r="D16" s="15" t="s">
        <v>109</v>
      </c>
    </row>
    <row r="17" spans="1:4" x14ac:dyDescent="0.3">
      <c r="A17" s="15" t="s">
        <v>51</v>
      </c>
      <c r="B17" s="15" t="s">
        <v>52</v>
      </c>
      <c r="C17" s="8" t="s">
        <v>111</v>
      </c>
      <c r="D17" s="15" t="s">
        <v>109</v>
      </c>
    </row>
    <row r="18" spans="1:4" x14ac:dyDescent="0.3">
      <c r="A18" s="15" t="s">
        <v>53</v>
      </c>
      <c r="B18" s="15" t="s">
        <v>54</v>
      </c>
      <c r="C18" s="8" t="s">
        <v>111</v>
      </c>
      <c r="D18" s="15" t="s">
        <v>109</v>
      </c>
    </row>
    <row r="19" spans="1:4" x14ac:dyDescent="0.3">
      <c r="A19" s="15" t="s">
        <v>55</v>
      </c>
      <c r="B19" s="15" t="s">
        <v>56</v>
      </c>
      <c r="C19" s="8" t="s">
        <v>111</v>
      </c>
      <c r="D19" s="15" t="s">
        <v>109</v>
      </c>
    </row>
    <row r="20" spans="1:4" x14ac:dyDescent="0.3">
      <c r="A20" s="15" t="s">
        <v>58</v>
      </c>
      <c r="B20" s="15" t="s">
        <v>59</v>
      </c>
      <c r="C20" s="8" t="s">
        <v>111</v>
      </c>
      <c r="D20" s="15" t="s">
        <v>109</v>
      </c>
    </row>
    <row r="21" spans="1:4" x14ac:dyDescent="0.3">
      <c r="A21" s="15" t="s">
        <v>60</v>
      </c>
      <c r="B21" s="15" t="s">
        <v>61</v>
      </c>
      <c r="C21" s="8" t="s">
        <v>111</v>
      </c>
      <c r="D21" s="15" t="s">
        <v>109</v>
      </c>
    </row>
    <row r="22" spans="1:4" x14ac:dyDescent="0.3">
      <c r="A22" s="15" t="s">
        <v>62</v>
      </c>
      <c r="B22" s="15" t="s">
        <v>63</v>
      </c>
      <c r="C22" s="8" t="s">
        <v>111</v>
      </c>
      <c r="D22" s="15" t="s">
        <v>109</v>
      </c>
    </row>
    <row r="23" spans="1:4" x14ac:dyDescent="0.3">
      <c r="A23" s="15" t="s">
        <v>64</v>
      </c>
      <c r="B23" s="15" t="s">
        <v>65</v>
      </c>
      <c r="C23" s="8" t="s">
        <v>111</v>
      </c>
      <c r="D23" s="15" t="s">
        <v>109</v>
      </c>
    </row>
    <row r="24" spans="1:4" x14ac:dyDescent="0.3">
      <c r="A24" s="15" t="s">
        <v>66</v>
      </c>
      <c r="B24" s="15" t="s">
        <v>67</v>
      </c>
      <c r="C24" s="8" t="s">
        <v>111</v>
      </c>
      <c r="D24" s="15" t="s">
        <v>109</v>
      </c>
    </row>
    <row r="25" spans="1:4" x14ac:dyDescent="0.3">
      <c r="A25" s="15" t="s">
        <v>68</v>
      </c>
      <c r="B25" s="15" t="s">
        <v>69</v>
      </c>
      <c r="C25" s="8" t="s">
        <v>111</v>
      </c>
      <c r="D25" s="15" t="s">
        <v>109</v>
      </c>
    </row>
    <row r="26" spans="1:4" x14ac:dyDescent="0.3">
      <c r="A26" s="15" t="s">
        <v>70</v>
      </c>
      <c r="B26" s="15" t="s">
        <v>71</v>
      </c>
      <c r="C26" s="8" t="s">
        <v>111</v>
      </c>
      <c r="D26" s="15" t="s">
        <v>109</v>
      </c>
    </row>
    <row r="27" spans="1:4" x14ac:dyDescent="0.3">
      <c r="A27" s="15" t="s">
        <v>72</v>
      </c>
      <c r="B27" s="15" t="s">
        <v>73</v>
      </c>
      <c r="C27" s="8" t="s">
        <v>111</v>
      </c>
      <c r="D27" s="15" t="s">
        <v>109</v>
      </c>
    </row>
    <row r="28" spans="1:4" x14ac:dyDescent="0.3">
      <c r="A28" s="15" t="s">
        <v>74</v>
      </c>
      <c r="B28" s="15" t="s">
        <v>75</v>
      </c>
      <c r="C28" s="8" t="s">
        <v>111</v>
      </c>
      <c r="D28" s="15" t="s">
        <v>109</v>
      </c>
    </row>
    <row r="29" spans="1:4" x14ac:dyDescent="0.3">
      <c r="A29" s="15" t="s">
        <v>76</v>
      </c>
      <c r="B29" s="15" t="s">
        <v>77</v>
      </c>
      <c r="C29" s="8" t="s">
        <v>111</v>
      </c>
      <c r="D29" s="15" t="s">
        <v>109</v>
      </c>
    </row>
    <row r="30" spans="1:4" x14ac:dyDescent="0.3">
      <c r="A30" s="15" t="s">
        <v>78</v>
      </c>
      <c r="B30" s="15" t="s">
        <v>79</v>
      </c>
      <c r="C30" s="8" t="s">
        <v>111</v>
      </c>
      <c r="D30" s="15" t="s">
        <v>109</v>
      </c>
    </row>
    <row r="31" spans="1:4" x14ac:dyDescent="0.3">
      <c r="A31" s="15" t="s">
        <v>80</v>
      </c>
      <c r="B31" s="15" t="s">
        <v>81</v>
      </c>
      <c r="C31" s="8" t="s">
        <v>111</v>
      </c>
      <c r="D31" s="15" t="s">
        <v>109</v>
      </c>
    </row>
    <row r="32" spans="1:4" x14ac:dyDescent="0.3">
      <c r="A32" s="15" t="s">
        <v>82</v>
      </c>
      <c r="B32" s="15" t="s">
        <v>83</v>
      </c>
      <c r="C32" s="8" t="s">
        <v>111</v>
      </c>
      <c r="D32" s="15" t="s">
        <v>109</v>
      </c>
    </row>
    <row r="33" spans="1:4" x14ac:dyDescent="0.3">
      <c r="A33" s="15" t="s">
        <v>84</v>
      </c>
      <c r="B33" s="15" t="s">
        <v>85</v>
      </c>
      <c r="C33" s="8" t="s">
        <v>111</v>
      </c>
      <c r="D33" s="15" t="s">
        <v>109</v>
      </c>
    </row>
    <row r="34" spans="1:4" x14ac:dyDescent="0.3">
      <c r="A34" s="15" t="s">
        <v>86</v>
      </c>
      <c r="B34" s="15" t="s">
        <v>87</v>
      </c>
      <c r="C34" s="8" t="s">
        <v>111</v>
      </c>
      <c r="D34" s="15" t="s">
        <v>109</v>
      </c>
    </row>
    <row r="35" spans="1:4" x14ac:dyDescent="0.3">
      <c r="A35" s="15" t="s">
        <v>88</v>
      </c>
      <c r="B35" s="15" t="s">
        <v>89</v>
      </c>
      <c r="C35" s="8" t="s">
        <v>111</v>
      </c>
      <c r="D35" s="15" t="s">
        <v>109</v>
      </c>
    </row>
    <row r="36" spans="1:4" x14ac:dyDescent="0.3">
      <c r="A36" s="15" t="s">
        <v>102</v>
      </c>
      <c r="B36" s="15" t="s">
        <v>103</v>
      </c>
      <c r="C36" s="8" t="s">
        <v>111</v>
      </c>
      <c r="D36" s="15" t="s">
        <v>109</v>
      </c>
    </row>
    <row r="37" spans="1:4" x14ac:dyDescent="0.3">
      <c r="A37" s="15" t="s">
        <v>104</v>
      </c>
      <c r="B37" s="15" t="s">
        <v>105</v>
      </c>
      <c r="C37" s="8" t="s">
        <v>111</v>
      </c>
      <c r="D37" s="15" t="s">
        <v>109</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D23" sqref="D23"/>
    </sheetView>
  </sheetViews>
  <sheetFormatPr defaultRowHeight="14.4" x14ac:dyDescent="0.3"/>
  <cols>
    <col min="1" max="1" width="11.5546875" bestFit="1" customWidth="1"/>
    <col min="2" max="2" width="30.21875" bestFit="1" customWidth="1"/>
    <col min="3" max="3" width="13.21875" bestFit="1" customWidth="1"/>
    <col min="4" max="4" width="11.21875" bestFit="1" customWidth="1"/>
  </cols>
  <sheetData>
    <row r="1" spans="1:4" x14ac:dyDescent="0.3">
      <c r="A1" s="12" t="s">
        <v>2</v>
      </c>
      <c r="B1" s="12" t="s">
        <v>3</v>
      </c>
      <c r="C1" s="13" t="s">
        <v>108</v>
      </c>
      <c r="D1" s="12" t="s">
        <v>107</v>
      </c>
    </row>
    <row r="2" spans="1:4" x14ac:dyDescent="0.3">
      <c r="A2" s="15" t="s">
        <v>43</v>
      </c>
      <c r="B2" s="15" t="s">
        <v>44</v>
      </c>
      <c r="C2" s="8" t="s">
        <v>109</v>
      </c>
      <c r="D2" s="15" t="s">
        <v>126</v>
      </c>
    </row>
    <row r="9" spans="1:4" ht="15" thickBot="1" x14ac:dyDescent="0.35"/>
    <row r="10" spans="1:4" x14ac:dyDescent="0.3">
      <c r="A10" s="12" t="s">
        <v>2</v>
      </c>
      <c r="B10" s="12" t="s">
        <v>3</v>
      </c>
      <c r="C10" s="13" t="s">
        <v>108</v>
      </c>
      <c r="D10" s="12" t="s">
        <v>107</v>
      </c>
    </row>
    <row r="11" spans="1:4" x14ac:dyDescent="0.3">
      <c r="A11" s="15" t="s">
        <v>94</v>
      </c>
      <c r="B11" s="15" t="s">
        <v>95</v>
      </c>
      <c r="C11" s="8" t="s">
        <v>109</v>
      </c>
      <c r="D11" s="15" t="s">
        <v>126</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workbookViewId="0">
      <selection activeCell="C19" sqref="C19"/>
    </sheetView>
  </sheetViews>
  <sheetFormatPr defaultRowHeight="14.4" x14ac:dyDescent="0.3"/>
  <cols>
    <col min="1" max="1" width="12" bestFit="1" customWidth="1"/>
    <col min="2" max="2" width="30.5546875" bestFit="1" customWidth="1"/>
    <col min="3" max="3" width="13.21875" bestFit="1" customWidth="1"/>
    <col min="4" max="4" width="11.21875" bestFit="1" customWidth="1"/>
  </cols>
  <sheetData>
    <row r="1" spans="1:4" x14ac:dyDescent="0.3">
      <c r="A1" s="12" t="s">
        <v>2</v>
      </c>
      <c r="B1" s="12" t="s">
        <v>3</v>
      </c>
      <c r="C1" s="12" t="s">
        <v>108</v>
      </c>
      <c r="D1" s="12" t="s">
        <v>107</v>
      </c>
    </row>
    <row r="2" spans="1:4" x14ac:dyDescent="0.3">
      <c r="A2" s="15" t="s">
        <v>45</v>
      </c>
      <c r="B2" s="15" t="s">
        <v>46</v>
      </c>
      <c r="C2" s="15" t="s">
        <v>109</v>
      </c>
      <c r="D2" s="15" t="s">
        <v>117</v>
      </c>
    </row>
    <row r="9" spans="1:4" ht="15" thickBot="1" x14ac:dyDescent="0.35"/>
    <row r="10" spans="1:4" x14ac:dyDescent="0.3">
      <c r="A10" s="12" t="s">
        <v>2</v>
      </c>
      <c r="B10" s="12" t="s">
        <v>3</v>
      </c>
      <c r="C10" s="12" t="s">
        <v>108</v>
      </c>
      <c r="D10" s="12" t="s">
        <v>107</v>
      </c>
    </row>
    <row r="11" spans="1:4" x14ac:dyDescent="0.3">
      <c r="A11" s="15" t="s">
        <v>96</v>
      </c>
      <c r="B11" s="15" t="s">
        <v>97</v>
      </c>
      <c r="C11" s="15" t="s">
        <v>109</v>
      </c>
      <c r="D11" s="15" t="s">
        <v>117</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
  <sheetViews>
    <sheetView workbookViewId="0">
      <selection activeCell="F1" sqref="F1"/>
    </sheetView>
  </sheetViews>
  <sheetFormatPr defaultRowHeight="14.4" x14ac:dyDescent="0.3"/>
  <cols>
    <col min="1" max="1" width="11.5546875" bestFit="1" customWidth="1"/>
    <col min="2" max="2" width="27.77734375" bestFit="1" customWidth="1"/>
    <col min="3" max="3" width="13.21875" bestFit="1" customWidth="1"/>
    <col min="4" max="4" width="11.21875" bestFit="1" customWidth="1"/>
  </cols>
  <sheetData>
    <row r="1" spans="1:4" x14ac:dyDescent="0.3">
      <c r="A1" s="12" t="s">
        <v>2</v>
      </c>
      <c r="B1" s="12" t="s">
        <v>3</v>
      </c>
      <c r="C1" s="12" t="s">
        <v>108</v>
      </c>
      <c r="D1" s="12" t="s">
        <v>107</v>
      </c>
    </row>
    <row r="2" spans="1:4" x14ac:dyDescent="0.3">
      <c r="A2" s="15" t="s">
        <v>41</v>
      </c>
      <c r="B2" s="15" t="s">
        <v>42</v>
      </c>
      <c r="C2" s="15" t="s">
        <v>109</v>
      </c>
      <c r="D2" s="15" t="s">
        <v>116</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1" sqref="F1"/>
    </sheetView>
  </sheetViews>
  <sheetFormatPr defaultRowHeight="14.4" x14ac:dyDescent="0.3"/>
  <cols>
    <col min="1" max="1" width="12.21875" bestFit="1" customWidth="1"/>
    <col min="2" max="2" width="31.77734375" bestFit="1" customWidth="1"/>
    <col min="3" max="3" width="13.21875" bestFit="1" customWidth="1"/>
    <col min="4" max="4" width="11.21875" bestFit="1" customWidth="1"/>
  </cols>
  <sheetData>
    <row r="1" spans="1:4" x14ac:dyDescent="0.3">
      <c r="A1" s="1" t="s">
        <v>2</v>
      </c>
      <c r="B1" s="1" t="s">
        <v>3</v>
      </c>
      <c r="C1" s="12" t="s">
        <v>108</v>
      </c>
      <c r="D1" s="12" t="s">
        <v>107</v>
      </c>
    </row>
    <row r="2" spans="1:4" x14ac:dyDescent="0.3">
      <c r="A2" s="3" t="s">
        <v>100</v>
      </c>
      <c r="B2" s="3" t="s">
        <v>101</v>
      </c>
      <c r="C2" s="15" t="s">
        <v>109</v>
      </c>
      <c r="D2" s="15" t="s">
        <v>115</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8"/>
  <sheetViews>
    <sheetView workbookViewId="0">
      <selection activeCell="E21" sqref="E21"/>
    </sheetView>
  </sheetViews>
  <sheetFormatPr defaultRowHeight="14.4" x14ac:dyDescent="0.3"/>
  <cols>
    <col min="1" max="1" width="13.21875" bestFit="1" customWidth="1"/>
    <col min="2" max="2" width="31.5546875" bestFit="1" customWidth="1"/>
    <col min="3" max="3" width="11.21875" bestFit="1" customWidth="1"/>
    <col min="4" max="4" width="12.77734375" bestFit="1" customWidth="1"/>
  </cols>
  <sheetData>
    <row r="1" spans="1:4" ht="15" thickBot="1" x14ac:dyDescent="0.35">
      <c r="A1" t="s">
        <v>183</v>
      </c>
    </row>
    <row r="2" spans="1:4" x14ac:dyDescent="0.3">
      <c r="A2" s="12" t="s">
        <v>2</v>
      </c>
      <c r="B2" s="12" t="s">
        <v>3</v>
      </c>
      <c r="C2" s="12" t="s">
        <v>107</v>
      </c>
      <c r="D2" s="16" t="s">
        <v>108</v>
      </c>
    </row>
    <row r="3" spans="1:4" x14ac:dyDescent="0.3">
      <c r="A3" s="15" t="s">
        <v>39</v>
      </c>
      <c r="B3" s="15" t="s">
        <v>40</v>
      </c>
      <c r="C3" s="15" t="s">
        <v>120</v>
      </c>
      <c r="D3" s="15" t="s">
        <v>109</v>
      </c>
    </row>
    <row r="16" spans="1:4" ht="15" thickBot="1" x14ac:dyDescent="0.35">
      <c r="A16" t="s">
        <v>10</v>
      </c>
    </row>
    <row r="17" spans="1:4" x14ac:dyDescent="0.3">
      <c r="A17" s="12" t="s">
        <v>2</v>
      </c>
      <c r="B17" s="12" t="s">
        <v>3</v>
      </c>
      <c r="C17" s="12" t="s">
        <v>107</v>
      </c>
      <c r="D17" s="16" t="s">
        <v>108</v>
      </c>
    </row>
    <row r="18" spans="1:4" x14ac:dyDescent="0.3">
      <c r="A18" s="15" t="s">
        <v>92</v>
      </c>
      <c r="B18" s="15" t="s">
        <v>93</v>
      </c>
      <c r="C18" s="15" t="s">
        <v>120</v>
      </c>
      <c r="D18" s="15" t="s">
        <v>109</v>
      </c>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9"/>
  <sheetViews>
    <sheetView topLeftCell="A10" workbookViewId="0">
      <selection activeCell="G33" sqref="G33"/>
    </sheetView>
  </sheetViews>
  <sheetFormatPr defaultRowHeight="14.4" x14ac:dyDescent="0.3"/>
  <cols>
    <col min="1" max="1" width="12.44140625" bestFit="1" customWidth="1"/>
    <col min="2" max="2" width="31" bestFit="1" customWidth="1"/>
    <col min="3" max="3" width="11.21875" bestFit="1" customWidth="1"/>
    <col min="4" max="4" width="13.21875" bestFit="1" customWidth="1"/>
  </cols>
  <sheetData>
    <row r="1" spans="1:4" x14ac:dyDescent="0.3">
      <c r="A1" s="1" t="s">
        <v>2</v>
      </c>
      <c r="B1" s="1" t="s">
        <v>3</v>
      </c>
      <c r="C1" s="12" t="s">
        <v>107</v>
      </c>
      <c r="D1" s="13" t="s">
        <v>108</v>
      </c>
    </row>
    <row r="2" spans="1:4" x14ac:dyDescent="0.3">
      <c r="A2" s="3" t="s">
        <v>37</v>
      </c>
      <c r="B2" s="3" t="s">
        <v>38</v>
      </c>
      <c r="C2" s="15" t="s">
        <v>112</v>
      </c>
      <c r="D2" s="8" t="s">
        <v>109</v>
      </c>
    </row>
    <row r="8" spans="1:4" ht="15" thickBot="1" x14ac:dyDescent="0.35"/>
    <row r="9" spans="1:4" x14ac:dyDescent="0.3">
      <c r="A9" s="1" t="s">
        <v>2</v>
      </c>
      <c r="B9" s="1" t="s">
        <v>3</v>
      </c>
      <c r="C9" s="12" t="s">
        <v>107</v>
      </c>
      <c r="D9" s="13" t="s">
        <v>108</v>
      </c>
    </row>
    <row r="10" spans="1:4" x14ac:dyDescent="0.3">
      <c r="A10" s="3" t="s">
        <v>90</v>
      </c>
      <c r="B10" s="3" t="s">
        <v>91</v>
      </c>
      <c r="C10" s="15" t="s">
        <v>112</v>
      </c>
      <c r="D10" s="8" t="s">
        <v>109</v>
      </c>
    </row>
    <row r="17" spans="1:4" ht="15" thickBot="1" x14ac:dyDescent="0.35"/>
    <row r="18" spans="1:4" x14ac:dyDescent="0.3">
      <c r="A18" s="1" t="s">
        <v>2</v>
      </c>
      <c r="B18" s="1" t="s">
        <v>3</v>
      </c>
      <c r="C18" s="12" t="s">
        <v>107</v>
      </c>
      <c r="D18" s="13" t="s">
        <v>108</v>
      </c>
    </row>
    <row r="19" spans="1:4" x14ac:dyDescent="0.3">
      <c r="A19" s="3" t="s">
        <v>98</v>
      </c>
      <c r="B19" s="3" t="s">
        <v>99</v>
      </c>
      <c r="C19" s="15" t="s">
        <v>112</v>
      </c>
      <c r="D19" s="8" t="str">
        <f>D10</f>
        <v>PC</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aa09a55-1d90-4dfd-9f85-a362a3ef938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E9228F3D45C9044A23F7F723E48C7B3" ma:contentTypeVersion="10" ma:contentTypeDescription="Create a new document." ma:contentTypeScope="" ma:versionID="859079cd2aecb8c983227446c4582dce">
  <xsd:schema xmlns:xsd="http://www.w3.org/2001/XMLSchema" xmlns:xs="http://www.w3.org/2001/XMLSchema" xmlns:p="http://schemas.microsoft.com/office/2006/metadata/properties" xmlns:ns3="8aa09a55-1d90-4dfd-9f85-a362a3ef938b" targetNamespace="http://schemas.microsoft.com/office/2006/metadata/properties" ma:root="true" ma:fieldsID="07761abc369d928f373e4883c0875fe5" ns3:_="">
    <xsd:import namespace="8aa09a55-1d90-4dfd-9f85-a362a3ef938b"/>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a09a55-1d90-4dfd-9f85-a362a3ef938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0A68D1-A596-4C18-AE9A-07223CAA204E}">
  <ds:schemaRefs>
    <ds:schemaRef ds:uri="8aa09a55-1d90-4dfd-9f85-a362a3ef938b"/>
    <ds:schemaRef ds:uri="http://purl.org/dc/elements/1.1/"/>
    <ds:schemaRef ds:uri="http://purl.org/dc/dcmitype/"/>
    <ds:schemaRef ds:uri="http://schemas.microsoft.com/office/2006/documentManagement/types"/>
    <ds:schemaRef ds:uri="http://schemas.microsoft.com/office/2006/metadata/properties"/>
    <ds:schemaRef ds:uri="http://purl.org/dc/terms/"/>
    <ds:schemaRef ds:uri="http://www.w3.org/XML/1998/namespac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7C9EF9DE-7186-433E-878D-808BAB5E2352}">
  <ds:schemaRefs>
    <ds:schemaRef ds:uri="http://schemas.microsoft.com/sharepoint/v3/contenttype/forms"/>
  </ds:schemaRefs>
</ds:datastoreItem>
</file>

<file path=customXml/itemProps3.xml><?xml version="1.0" encoding="utf-8"?>
<ds:datastoreItem xmlns:ds="http://schemas.openxmlformats.org/officeDocument/2006/customXml" ds:itemID="{AE78C8C9-AC55-42B8-9142-08B80479ED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a09a55-1d90-4dfd-9f85-a362a3ef93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Sunglasses BOM</vt:lpstr>
      <vt:lpstr>Raw Material Requirement</vt:lpstr>
      <vt:lpstr>Paint requirement</vt:lpstr>
      <vt:lpstr>Mold Daily Output</vt:lpstr>
      <vt:lpstr>Molding ABS DPR</vt:lpstr>
      <vt:lpstr>Molding PP DPR</vt:lpstr>
      <vt:lpstr>Buffing DPR - ABS</vt:lpstr>
      <vt:lpstr>Pre assembly BOM</vt:lpstr>
      <vt:lpstr>Screwing Pramara- DPR - ABS</vt:lpstr>
      <vt:lpstr>Screwing PP DPR</vt:lpstr>
      <vt:lpstr>Lacquer DPR - ABS - Pramara</vt:lpstr>
      <vt:lpstr>Riveting DPR - ABS - Pramara</vt:lpstr>
      <vt:lpstr>Pad Printing DPR - ABS</vt:lpstr>
      <vt:lpstr>Pad Printing DPR - PP</vt:lpstr>
      <vt:lpstr>Lens Assembly DPR - ABS</vt:lpstr>
      <vt:lpstr>Lens Assembly DPR - PP</vt:lpstr>
      <vt:lpstr>Sticker, Cleaning and FQC - ABS</vt:lpstr>
      <vt:lpstr>Sticker, Cleaning and FQC - PP</vt:lpstr>
      <vt:lpstr>Final Processes daily output</vt:lpstr>
      <vt:lpstr>Planning</vt:lpstr>
      <vt:lpstr>Tracker</vt:lpstr>
      <vt:lpstr>Checklist</vt:lpstr>
      <vt:lpstr>Packing material requirement</vt:lpstr>
      <vt:lpstr>Vendor Details</vt:lpstr>
      <vt:lpstr>Black lens</vt:lpstr>
      <vt:lpstr>Silver lens</vt:lpstr>
      <vt:lpstr>yellow lens</vt:lpstr>
      <vt:lpstr>Red lens</vt:lpstr>
      <vt:lpstr>Orange lens</vt:lpstr>
      <vt:lpstr>Green lens</vt:lpstr>
      <vt:lpstr> Blue lens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Suhail Motlekar</dc:creator>
  <cp:lastModifiedBy>Shubham Mishra</cp:lastModifiedBy>
  <cp:lastPrinted>2025-11-07T10:47:06Z</cp:lastPrinted>
  <dcterms:created xsi:type="dcterms:W3CDTF">2025-07-22T14:38:10Z</dcterms:created>
  <dcterms:modified xsi:type="dcterms:W3CDTF">2025-11-13T08:58:56Z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0x0101009E9228F3D45C9044A23F7F723E48C7B3</vt:lpwstr>
  </property>
</Properties>
</file>