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5"/>
  </bookViews>
  <sheets>
    <sheet name="Customer" sheetId="1" state="hidden" r:id="rId2"/>
    <sheet name="Sheet2" sheetId="2" state="hidden" r:id="rId3"/>
    <sheet name="with IIL calculations" sheetId="3" state="visible" r:id="rId4"/>
    <sheet name="with Fozmula calculations" sheetId="4" state="visible" r:id="rId5"/>
    <sheet name="mod. in IIL calculations" sheetId="5" state="visible" r:id="rId6"/>
    <sheet name="with detail IIL calc" sheetId="6" state="visible" r:id="rId7"/>
    <sheet name="fozmula shee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<sst xmlns="http://schemas.openxmlformats.org/spreadsheetml/2006/main" count="452" uniqueCount="228">
  <si>
    <t xml:space="preserve">Date</t>
  </si>
  <si>
    <t xml:space="preserve">Purpose </t>
  </si>
  <si>
    <t xml:space="preserve">To demonstrate interchanging probes can lead to change in full level output voltage from 4.2V to 5.1V by using diagnostics data read from faulty fuel level sensor.</t>
  </si>
  <si>
    <t xml:space="preserve">Data description</t>
  </si>
  <si>
    <t xml:space="preserve">Calibration data taken from faulty sensor is fed into Table 1. Live raw data for the full level is fed into Table 2. Table 3, 4, 5, 6 show calculations done in software to derive level. 
Note Output voltage in Table 4 &amp; Table 6 for output voltage at full level.</t>
  </si>
  <si>
    <t xml:space="preserve">Calibration data</t>
  </si>
  <si>
    <t xml:space="preserve">Table 1: Stored raw data in memory</t>
  </si>
  <si>
    <t xml:space="preserve">P0E</t>
  </si>
  <si>
    <t xml:space="preserve">P1E</t>
  </si>
  <si>
    <t xml:space="preserve">P2E</t>
  </si>
  <si>
    <t xml:space="preserve">P1F</t>
  </si>
  <si>
    <t xml:space="preserve">P2F</t>
  </si>
  <si>
    <t xml:space="preserve">div@cal</t>
  </si>
  <si>
    <t xml:space="preserve">Run time diagnostics data</t>
  </si>
  <si>
    <t xml:space="preserve">Table 2 : Live Raw values</t>
  </si>
  <si>
    <t xml:space="preserve">Raw P0</t>
  </si>
  <si>
    <t xml:space="preserve">Raw P1</t>
  </si>
  <si>
    <t xml:space="preserve">Raw P2</t>
  </si>
  <si>
    <t xml:space="preserve">Raw values in Table 2 are used in every row of the Table 4. Table 4 shows voltage reduces gradually and settles at 4.18V for the same raw data. Starting average divisor (Av. Div.) in cell M31 is assumed to be div@cal. 
(In software, div@cal has a multiplication factor of 4096 to make it an integer value)</t>
  </si>
  <si>
    <t xml:space="preserve">Calculating level using run-time diagnostics data, stored raw data (above) and aft algorithm</t>
  </si>
  <si>
    <t xml:space="preserve">Table 3</t>
  </si>
  <si>
    <t xml:space="preserve">raw_p1_span</t>
  </si>
  <si>
    <t xml:space="preserve">raw_p2_span</t>
  </si>
  <si>
    <t xml:space="preserve">p1_span</t>
  </si>
  <si>
    <t xml:space="preserve">m</t>
  </si>
  <si>
    <t xml:space="preserve">20% of raw_p1_span</t>
  </si>
  <si>
    <t xml:space="preserve">div@cal *0.97</t>
  </si>
  <si>
    <t xml:space="preserve">Table 4 : Internal calculations in existing design</t>
  </si>
  <si>
    <t xml:space="preserve">calc P1</t>
  </si>
  <si>
    <t xml:space="preserve">calc P2</t>
  </si>
  <si>
    <t xml:space="preserve">Cur.Div.</t>
  </si>
  <si>
    <t xml:space="preserve">Cur.Div. adjusted for negative values</t>
  </si>
  <si>
    <t xml:space="preserve">Cur.Div. adjusted for 97% low limit</t>
  </si>
  <si>
    <t xml:space="preserve">Av. Div.</t>
  </si>
  <si>
    <t xml:space="preserve">Level (%)</t>
  </si>
  <si>
    <t xml:space="preserve">Output (V)</t>
  </si>
  <si>
    <t xml:space="preserve">Internal calculations when probes are interchanged</t>
  </si>
  <si>
    <t xml:space="preserve">Table 1 &amp; Table 2 are also used for calculations in Table 5 &amp; Table 6. Same div@cal has been used. Ideally, div@cal will change because ratios will be reversed; It does not have significant impact on the results.
[In order to simulate impact of interchanged probes, change done in each formula is mentioned in respective cell above it, in italics.]</t>
  </si>
  <si>
    <t xml:space="preserve">[Big impact due to this]</t>
  </si>
  <si>
    <t xml:space="preserve">p2_span instead of p1_span</t>
  </si>
  <si>
    <t xml:space="preserve">Ratio reversed to raw_p2_span / raw_p1_span</t>
  </si>
  <si>
    <t xml:space="preserve">20% of raw_p2_span instead of raw_p1_span</t>
  </si>
  <si>
    <t xml:space="preserve">Table 5</t>
  </si>
  <si>
    <t xml:space="preserve">p2_span</t>
  </si>
  <si>
    <t xml:space="preserve">20% of raw_p2_span</t>
  </si>
  <si>
    <t xml:space="preserve">[In order to simulate impact of interchanged probes, change done in each formula is mentioned in respective cell above it, in italics.]</t>
  </si>
  <si>
    <t xml:space="preserve">Constant changed to 1.05</t>
  </si>
  <si>
    <t xml:space="preserve">Constant changed to 1.4</t>
  </si>
  <si>
    <t xml:space="preserve">Ratio reversed to calc P2/calc P1 and new "m" is used</t>
  </si>
  <si>
    <t xml:space="preserve">calc P2 used instead of calc P1</t>
  </si>
  <si>
    <t xml:space="preserve">Table 6: Internal calculations when probes are interchanged</t>
  </si>
  <si>
    <t xml:space="preserve">Level</t>
  </si>
  <si>
    <t xml:space="preserve">N1-diesel</t>
  </si>
  <si>
    <t xml:space="preserve">N1-water</t>
  </si>
  <si>
    <t xml:space="preserve">N1-water / N1-diesel</t>
  </si>
  <si>
    <t xml:space="preserve">N2-diesel</t>
  </si>
  <si>
    <t xml:space="preserve">N2-water</t>
  </si>
  <si>
    <t xml:space="preserve">N2-water / N2-diesel</t>
  </si>
  <si>
    <t xml:space="preserve">N1 full level voltage in diesel</t>
  </si>
  <si>
    <t xml:space="preserve">4.94V</t>
  </si>
  <si>
    <t xml:space="preserve">N1 full level voltage in water</t>
  </si>
  <si>
    <t xml:space="preserve">4.73V</t>
  </si>
  <si>
    <t xml:space="preserve">Calc. P1</t>
  </si>
  <si>
    <t xml:space="preserve">N2 full level voltage in diesel</t>
  </si>
  <si>
    <t xml:space="preserve">4.968V</t>
  </si>
  <si>
    <t xml:space="preserve">Calc. P2</t>
  </si>
  <si>
    <t xml:space="preserve">N2 full level voltage in water</t>
  </si>
  <si>
    <t xml:space="preserve">4.820V</t>
  </si>
  <si>
    <t xml:space="preserve">Divisor</t>
  </si>
  <si>
    <t xml:space="preserve">Av. Divisor</t>
  </si>
  <si>
    <t xml:space="preserve">Pwm</t>
  </si>
  <si>
    <t xml:space="preserve">Div. used</t>
  </si>
  <si>
    <t xml:space="preserve">m (theoritical)</t>
  </si>
  <si>
    <t xml:space="preserve">Divisor / Div. used (theoritical)</t>
  </si>
  <si>
    <t xml:space="preserve">O1-diesel</t>
  </si>
  <si>
    <t xml:space="preserve">O1-water</t>
  </si>
  <si>
    <t xml:space="preserve">O1-water / O1-diesel</t>
  </si>
  <si>
    <t xml:space="preserve">O2-diesel</t>
  </si>
  <si>
    <t xml:space="preserve">O2-water</t>
  </si>
  <si>
    <t xml:space="preserve">O2-water / O2-diesel</t>
  </si>
  <si>
    <t xml:space="preserve">O1 full level voltage in diesel</t>
  </si>
  <si>
    <t xml:space="preserve">4.974V</t>
  </si>
  <si>
    <t xml:space="preserve">O1 full level voltage in water</t>
  </si>
  <si>
    <t xml:space="preserve">1.613V</t>
  </si>
  <si>
    <t xml:space="preserve">O2 full level voltage in diesel</t>
  </si>
  <si>
    <t xml:space="preserve">4.987V</t>
  </si>
  <si>
    <t xml:space="preserve">O2 full level voltage in water</t>
  </si>
  <si>
    <t xml:space="preserve">1.66V</t>
  </si>
  <si>
    <t xml:space="preserve"> </t>
  </si>
  <si>
    <t xml:space="preserve">Calibration data calculated from O1 &amp; O2 sensors is fed into Table 1. Live raw data for the full level is fed into Table 2. Table 3, 4, 5, 6 show calculations done in software to derive level. 
Note Output voltage in Table 4 &amp; Table 6 for output voltage at full level.</t>
  </si>
  <si>
    <t xml:space="preserve">O1</t>
  </si>
  <si>
    <t xml:space="preserve">O2</t>
  </si>
  <si>
    <t xml:space="preserve">Change in ratios of numerator and denominator in the level equation, at full level </t>
  </si>
  <si>
    <t xml:space="preserve">Old software </t>
  </si>
  <si>
    <t xml:space="preserve">(Raw P1-P1E) / (P1F-P1E)</t>
  </si>
  <si>
    <t xml:space="preserve">Div. used / div@cal</t>
  </si>
  <si>
    <t xml:space="preserve">Raw values in Table 2 are used in every row of the Table 4. Starting average divisor (Av. Div.) in cell M31 is assumed to be div@cal. 
(In software, div@cal has a multiplication factor of 4096 to make it an integer value)</t>
  </si>
  <si>
    <t xml:space="preserve">Major equations</t>
  </si>
  <si>
    <t xml:space="preserve">raw_p1_span = </t>
  </si>
  <si>
    <t xml:space="preserve">P1F-P1E</t>
  </si>
  <si>
    <t xml:space="preserve">raw_p2_span = </t>
  </si>
  <si>
    <t xml:space="preserve">P2F-P2E</t>
  </si>
  <si>
    <t xml:space="preserve">p1_span =</t>
  </si>
  <si>
    <t xml:space="preserve">raw_p1_span / div@cal</t>
  </si>
  <si>
    <t xml:space="preserve">m=</t>
  </si>
  <si>
    <t xml:space="preserve">14.4-(7.07x(raw_p1_span/raw_p2_span))</t>
  </si>
  <si>
    <t xml:space="preserve">calc P1 = </t>
  </si>
  <si>
    <t xml:space="preserve">Raw P1 - (1.4 x ( Raw P0 - P0E)) - P1E</t>
  </si>
  <si>
    <t xml:space="preserve">calc P2 = </t>
  </si>
  <si>
    <t xml:space="preserve">Raw P2 - (1.05 x ( Raw P0 - P0E)) - P2E</t>
  </si>
  <si>
    <t xml:space="preserve">Cur.Div=</t>
  </si>
  <si>
    <t xml:space="preserve">m x (calc P1/calc P2) - 6.3</t>
  </si>
  <si>
    <t xml:space="preserve">Level=</t>
  </si>
  <si>
    <t xml:space="preserve">calc P1 / (p1_span * Avg. Div.)</t>
  </si>
  <si>
    <t xml:space="preserve">Internal calculations in new sw sample</t>
  </si>
  <si>
    <t xml:space="preserve">to simulate the output sudden change to 0.6V below certain point</t>
  </si>
  <si>
    <t xml:space="preserve">diagnostic data feeded of defective piece collected from hisar dealer</t>
  </si>
  <si>
    <t xml:space="preserve">sr. no.</t>
  </si>
  <si>
    <t xml:space="preserve">equation</t>
  </si>
  <si>
    <t xml:space="preserve">value</t>
  </si>
  <si>
    <t xml:space="preserve">raw P1 span = P1F-P1E</t>
  </si>
  <si>
    <t xml:space="preserve">raw P2 span = P2F-P2E</t>
  </si>
  <si>
    <t xml:space="preserve">m = 14.4-(7.07x(raw P1 span/raw P2 span))</t>
  </si>
  <si>
    <t xml:space="preserve">div @ cal = m(raw P1 span/raw P2 span)-6.3</t>
  </si>
  <si>
    <t xml:space="preserve">live P1 span = raw P1 span/div@cal</t>
  </si>
  <si>
    <t xml:space="preserve">20% of raw P1 span</t>
  </si>
  <si>
    <t xml:space="preserve">div @ cal*0.97*4096 (2 power 12 is 4096. it may be for 12 bit resolution)</t>
  </si>
  <si>
    <t xml:space="preserve">constant for P1 </t>
  </si>
  <si>
    <t xml:space="preserve">constant for P2 </t>
  </si>
  <si>
    <t xml:space="preserve">drift factor = Raw P0 - P0E</t>
  </si>
  <si>
    <t xml:space="preserve">P1 drift factor = constant for P1 * drift factor</t>
  </si>
  <si>
    <t xml:space="preserve">P2 drift factor = constant for P2 * drift factor</t>
  </si>
  <si>
    <t xml:space="preserve">calc P1 = Raw P1 - P1 drift factor - P1 at empty (if &lt; 0 then consider 0)</t>
  </si>
  <si>
    <t xml:space="preserve">calc P2 = Raw P2 - P2 drift factor - P2 at empty (if &lt;0 then consider 0)</t>
  </si>
  <si>
    <t xml:space="preserve">current divisor = (m*(calcP1/calcP2)-6.3)*4096</t>
  </si>
  <si>
    <t xml:space="preserve">current divisor adjusted for negative values = If current divisor &lt; 0 then consider (65535+current divisor), otherwise only current divisor</t>
  </si>
  <si>
    <t xml:space="preserve">current divisor adjusted for 97% = If current divisor adjusted for negative value is &lt; (div @ cal*0.97*4096) then consider (div @ cal*0.97*4096) otherwise current divisor adjusted for negative value</t>
  </si>
  <si>
    <t xml:space="preserve">average divisor = (((div @ cal* 0.97 * 4096)*3)+current divisor adjusted for 97%) /4</t>
  </si>
  <si>
    <t xml:space="preserve">level = (calc P1 / live P1 span) / (average divisor/4096)*100</t>
  </si>
  <si>
    <t xml:space="preserve">output voltage = (level/100)*(460)+50)/100</t>
  </si>
  <si>
    <t xml:space="preserve">div. used = (average divisor / 4096)/ div @ cal</t>
  </si>
  <si>
    <t xml:space="preserve">Parameter Name</t>
  </si>
  <si>
    <t xml:space="preserve">Description</t>
  </si>
  <si>
    <t xml:space="preserve">Calculation</t>
  </si>
  <si>
    <t xml:space="preserve">Limits</t>
  </si>
  <si>
    <t xml:space="preserve">Value</t>
  </si>
  <si>
    <t xml:space="preserve">D of O 23/01/12 Ref</t>
  </si>
  <si>
    <t xml:space="preserve">Constant for P1</t>
  </si>
  <si>
    <t xml:space="preserve">P1DF</t>
  </si>
  <si>
    <t xml:space="preserve">0 to 2, 2dp</t>
  </si>
  <si>
    <t xml:space="preserve">Constant for P2</t>
  </si>
  <si>
    <t xml:space="preserve">P2DF</t>
  </si>
  <si>
    <t xml:space="preserve">P0 Electronics</t>
  </si>
  <si>
    <t xml:space="preserve">P0</t>
  </si>
  <si>
    <t xml:space="preserve">Electronics live value</t>
  </si>
  <si>
    <t xml:space="preserve">Probe P1</t>
  </si>
  <si>
    <t xml:space="preserve">P1</t>
  </si>
  <si>
    <t xml:space="preserve">P1 live value</t>
  </si>
  <si>
    <t xml:space="preserve">Probe P2</t>
  </si>
  <si>
    <t xml:space="preserve">P2</t>
  </si>
  <si>
    <t xml:space="preserve">P2 live value</t>
  </si>
  <si>
    <t xml:space="preserve">Empty Stuff</t>
  </si>
  <si>
    <t xml:space="preserve">Electronics at Empty</t>
  </si>
  <si>
    <r>
      <rPr>
        <i val="true"/>
        <sz val="12"/>
        <color rgb="FF000000"/>
        <rFont val="Times New Roman"/>
        <family val="1"/>
        <charset val="1"/>
      </rPr>
      <t xml:space="preserve">P0</t>
    </r>
    <r>
      <rPr>
        <i val="true"/>
        <vertAlign val="subscript"/>
        <sz val="12"/>
        <color rgb="FF000000"/>
        <rFont val="Times New Roman"/>
        <family val="1"/>
        <charset val="1"/>
      </rPr>
      <t xml:space="preserve">_</t>
    </r>
    <r>
      <rPr>
        <i val="true"/>
        <sz val="12"/>
        <color rgb="FF000000"/>
        <rFont val="Times New Roman"/>
        <family val="1"/>
        <charset val="1"/>
      </rPr>
      <t xml:space="preserve">at_empty</t>
    </r>
  </si>
  <si>
    <t xml:space="preserve">Electronics during calibration</t>
  </si>
  <si>
    <t xml:space="preserve">P1 at Empty</t>
  </si>
  <si>
    <t xml:space="preserve">P1_at_empty</t>
  </si>
  <si>
    <t xml:space="preserve">P1 in air</t>
  </si>
  <si>
    <t xml:space="preserve">P2 at Empty</t>
  </si>
  <si>
    <t xml:space="preserve">P2_at_empty</t>
  </si>
  <si>
    <t xml:space="preserve">P2 in air</t>
  </si>
  <si>
    <t xml:space="preserve">Full Stuff (Diesel)</t>
  </si>
  <si>
    <t xml:space="preserve">P1 at Full</t>
  </si>
  <si>
    <t xml:space="preserve">P1_at_full</t>
  </si>
  <si>
    <t xml:space="preserve">P1 immersed in diesel</t>
  </si>
  <si>
    <t xml:space="preserve">P2 at Full</t>
  </si>
  <si>
    <t xml:space="preserve">P2_at_full</t>
  </si>
  <si>
    <t xml:space="preserve">P2 immersed in diesel</t>
  </si>
  <si>
    <t xml:space="preserve">P1 Span</t>
  </si>
  <si>
    <t xml:space="preserve">raw_P1_span</t>
  </si>
  <si>
    <t xml:space="preserve">Basic P1 span at calibration</t>
  </si>
  <si>
    <t xml:space="preserve">P1_at_full - P1_at_empty</t>
  </si>
  <si>
    <t xml:space="preserve">P2 Span</t>
  </si>
  <si>
    <t xml:space="preserve">raw_P2_span</t>
  </si>
  <si>
    <t xml:space="preserve">Basic P2 span at calibration</t>
  </si>
  <si>
    <t xml:space="preserve">P2_at_full - P2_at_empty</t>
  </si>
  <si>
    <t xml:space="preserve">Calibration Calculations </t>
  </si>
  <si>
    <t xml:space="preserve">Slope ???</t>
  </si>
  <si>
    <t xml:space="preserve">14.4 - 7.07(raw_P1_span / raw_P2_span)</t>
  </si>
  <si>
    <t xml:space="preserve">Divisor at time of calibration</t>
  </si>
  <si>
    <t xml:space="preserve">(m x (raw_P1_span / raw_P2_span)) - 6.3</t>
  </si>
  <si>
    <t xml:space="preserve">raw_P1_span / div@cal</t>
  </si>
  <si>
    <t xml:space="preserve">Electronics Negative Flag</t>
  </si>
  <si>
    <r>
      <rPr>
        <i val="true"/>
        <sz val="11"/>
        <rFont val="Times New Roman"/>
        <family val="1"/>
        <charset val="1"/>
      </rPr>
      <t xml:space="preserve">P0</t>
    </r>
    <r>
      <rPr>
        <i val="true"/>
        <vertAlign val="subscript"/>
        <sz val="11"/>
        <rFont val="Times New Roman"/>
        <family val="1"/>
        <charset val="1"/>
      </rPr>
      <t xml:space="preserve">x</t>
    </r>
  </si>
  <si>
    <t xml:space="preserve">Decides if drift factor added / subtracted</t>
  </si>
  <si>
    <t xml:space="preserve">P0 - P0_at_empty</t>
  </si>
  <si>
    <t xml:space="preserve">If +ve then drift factor is subtracted. If -ve then drift factor added</t>
  </si>
  <si>
    <t xml:space="preserve">P1_drift_factor</t>
  </si>
  <si>
    <t xml:space="preserve">P1 temperature effects</t>
  </si>
  <si>
    <t xml:space="preserve">P1DF x (P0 - P0_at_empty)</t>
  </si>
  <si>
    <t xml:space="preserve">P2_drift_factor</t>
  </si>
  <si>
    <t xml:space="preserve">P2 temperature effects</t>
  </si>
  <si>
    <t xml:space="preserve">P2DF x (P0 - P0_at_empty)</t>
  </si>
  <si>
    <t xml:space="preserve">P1 Current Level</t>
  </si>
  <si>
    <r>
      <rPr>
        <i val="true"/>
        <sz val="12"/>
        <color rgb="FF000000"/>
        <rFont val="Calibri"/>
        <family val="2"/>
        <charset val="1"/>
      </rPr>
      <t xml:space="preserve">p</t>
    </r>
    <r>
      <rPr>
        <i val="true"/>
        <vertAlign val="subscript"/>
        <sz val="12"/>
        <color rgb="FF000000"/>
        <rFont val="Times New Roman"/>
        <family val="1"/>
        <charset val="1"/>
      </rPr>
      <t xml:space="preserve">1</t>
    </r>
  </si>
  <si>
    <t xml:space="preserve">P1 - P1_drift_factor - P1_at_empty</t>
  </si>
  <si>
    <t xml:space="preserve">Good addition maybe like TLL45X code - Don't allow a negative. Set to 0</t>
  </si>
  <si>
    <t xml:space="preserve">P2 Current Level</t>
  </si>
  <si>
    <r>
      <rPr>
        <i val="true"/>
        <sz val="12"/>
        <color rgb="FF000000"/>
        <rFont val="Calibri"/>
        <family val="2"/>
        <charset val="1"/>
      </rPr>
      <t xml:space="preserve">p</t>
    </r>
    <r>
      <rPr>
        <i val="true"/>
        <vertAlign val="subscript"/>
        <sz val="12"/>
        <color rgb="FF000000"/>
        <rFont val="Times New Roman"/>
        <family val="1"/>
        <charset val="1"/>
      </rPr>
      <t xml:space="preserve">2</t>
    </r>
  </si>
  <si>
    <t xml:space="preserve">P2 - P2_drift_factor - P2_at_empty</t>
  </si>
  <si>
    <t xml:space="preserve">Good addition maybe like TLL45X code - Don't allow a negative or 0. Set to 1</t>
  </si>
  <si>
    <t xml:space="preserve">Live Divisor</t>
  </si>
  <si>
    <t xml:space="preserve">div</t>
  </si>
  <si>
    <t xml:space="preserve">m x (p1 / p2) - 6.3</t>
  </si>
  <si>
    <t xml:space="preserve">Average Divisor</t>
  </si>
  <si>
    <t xml:space="preserve">div_average</t>
  </si>
  <si>
    <t xml:space="preserve">Averaging over number of samples</t>
  </si>
  <si>
    <t xml:space="preserve">Min value is 
0.97 x div@cal</t>
  </si>
  <si>
    <t xml:space="preserve">Stored Divisor</t>
  </si>
  <si>
    <t xml:space="preserve">div_average_store</t>
  </si>
  <si>
    <t xml:space="preserve">Divisor stored every 15 minutes of operation</t>
  </si>
  <si>
    <t xml:space="preserve">Cutoff </t>
  </si>
  <si>
    <t xml:space="preserve">Condition for using average divisor or stored divisor. If signal level is below 20% of original diesel calibration then don't use average as value is based on small height</t>
  </si>
  <si>
    <t xml:space="preserve">p1 &lt; 0.2 x raw_P1_span</t>
  </si>
  <si>
    <t xml:space="preserve">Level </t>
  </si>
  <si>
    <t xml:space="preserve">p1 / (div_average x p1_span)</t>
  </si>
  <si>
    <t xml:space="preserve">Voltage</t>
  </si>
  <si>
    <t xml:space="preserve">0-5V range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</si>
</sst>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0.000"/>
    <numFmt numFmtId="168" formatCode="0"/>
    <numFmt numFmtId="169" formatCode="0.0"/>
    <numFmt numFmtId="170" formatCode="0.00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i val="true"/>
      <vertAlign val="subscript"/>
      <sz val="12"/>
      <color rgb="FF000000"/>
      <name val="Times New Roman"/>
      <family val="1"/>
      <charset val="1"/>
    </font>
    <font>
      <i val="true"/>
      <sz val="11"/>
      <name val="Times New Roman"/>
      <family val="1"/>
      <charset val="1"/>
    </font>
    <font>
      <i val="true"/>
      <vertAlign val="subscript"/>
      <sz val="11"/>
      <name val="Times New Roman"/>
      <family val="1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0000FF"/>
      <name val="Times New Roman"/>
      <family val="1"/>
      <charset val="1"/>
    </font>
    <font>
      <i val="true"/>
      <sz val="12"/>
      <color rgb="FF000000"/>
      <name val="Times New Roman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85724"/>
        <bgColor rgb="FF333300"/>
      </patternFill>
    </fill>
    <fill>
      <patternFill patternType="solid">
        <fgColor rgb="FFF4B183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D966"/>
        <bgColor rgb="FFF4B183"/>
      </patternFill>
    </fill>
    <fill>
      <patternFill patternType="solid">
        <fgColor rgb="FFD9D9D9"/>
        <bgColor rgb="FFE7E6E6"/>
      </patternFill>
    </fill>
    <fill>
      <patternFill patternType="solid">
        <fgColor rgb="FFBFBFBF"/>
        <bgColor rgb="FFD9D9D9"/>
      </patternFill>
    </fill>
    <fill>
      <patternFill patternType="solid">
        <fgColor rgb="FF000000"/>
        <bgColor rgb="FF00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3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16</xdr:row>
      <xdr:rowOff>19440</xdr:rowOff>
    </xdr:from>
    <xdr:to>
      <xdr:col>6</xdr:col>
      <xdr:colOff>427320</xdr:colOff>
      <xdr:row>20</xdr:row>
      <xdr:rowOff>138600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142920" y="3110760"/>
          <a:ext cx="4049280" cy="1152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38160</xdr:rowOff>
    </xdr:from>
    <xdr:to>
      <xdr:col>6</xdr:col>
      <xdr:colOff>442800</xdr:colOff>
      <xdr:row>14</xdr:row>
      <xdr:rowOff>58320</xdr:rowOff>
    </xdr:to>
    <xdr:pic>
      <xdr:nvPicPr>
        <xdr:cNvPr id="1" name="Picture 8" descr=""/>
        <xdr:cNvPicPr/>
      </xdr:nvPicPr>
      <xdr:blipFill>
        <a:blip r:embed="rId2"/>
        <a:stretch/>
      </xdr:blipFill>
      <xdr:spPr>
        <a:xfrm>
          <a:off x="0" y="1545480"/>
          <a:ext cx="4207680" cy="11786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</xdr:col>
      <xdr:colOff>457200</xdr:colOff>
      <xdr:row>9</xdr:row>
      <xdr:rowOff>130320</xdr:rowOff>
    </xdr:from>
    <xdr:to>
      <xdr:col>7</xdr:col>
      <xdr:colOff>102240</xdr:colOff>
      <xdr:row>9</xdr:row>
      <xdr:rowOff>242280</xdr:rowOff>
    </xdr:to>
    <xdr:sp>
      <xdr:nvSpPr>
        <xdr:cNvPr id="2" name="CustomShape 1"/>
        <xdr:cNvSpPr/>
      </xdr:nvSpPr>
      <xdr:spPr>
        <a:xfrm flipV="1">
          <a:off x="2374200" y="1828080"/>
          <a:ext cx="2108880" cy="1119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361800</xdr:colOff>
      <xdr:row>17</xdr:row>
      <xdr:rowOff>101880</xdr:rowOff>
    </xdr:from>
    <xdr:to>
      <xdr:col>8</xdr:col>
      <xdr:colOff>911880</xdr:colOff>
      <xdr:row>18</xdr:row>
      <xdr:rowOff>11160</xdr:rowOff>
    </xdr:to>
    <xdr:sp>
      <xdr:nvSpPr>
        <xdr:cNvPr id="3" name="CustomShape 1"/>
        <xdr:cNvSpPr/>
      </xdr:nvSpPr>
      <xdr:spPr>
        <a:xfrm flipV="1">
          <a:off x="2278800" y="3443040"/>
          <a:ext cx="4101840" cy="159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57240">
          <a:solidFill>
            <a:srgbClr val="ff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7</xdr:row>
      <xdr:rowOff>17280</xdr:rowOff>
    </xdr:from>
    <xdr:to>
      <xdr:col>7</xdr:col>
      <xdr:colOff>787680</xdr:colOff>
      <xdr:row>17</xdr:row>
      <xdr:rowOff>53280</xdr:rowOff>
    </xdr:to>
    <xdr:pic>
      <xdr:nvPicPr>
        <xdr:cNvPr id="4" name="Image 4" descr=""/>
        <xdr:cNvPicPr/>
      </xdr:nvPicPr>
      <xdr:blipFill>
        <a:blip r:embed="rId1"/>
        <a:stretch/>
      </xdr:blipFill>
      <xdr:spPr>
        <a:xfrm>
          <a:off x="0" y="1255680"/>
          <a:ext cx="5168520" cy="2168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8</xdr:row>
      <xdr:rowOff>76680</xdr:rowOff>
    </xdr:from>
    <xdr:to>
      <xdr:col>7</xdr:col>
      <xdr:colOff>2160</xdr:colOff>
      <xdr:row>15</xdr:row>
      <xdr:rowOff>84960</xdr:rowOff>
    </xdr:to>
    <xdr:pic>
      <xdr:nvPicPr>
        <xdr:cNvPr id="5" name="Image 4" descr=""/>
        <xdr:cNvPicPr/>
      </xdr:nvPicPr>
      <xdr:blipFill>
        <a:blip r:embed="rId1"/>
        <a:stretch/>
      </xdr:blipFill>
      <xdr:spPr>
        <a:xfrm>
          <a:off x="0" y="1565280"/>
          <a:ext cx="4383000" cy="132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196920</xdr:colOff>
      <xdr:row>8</xdr:row>
      <xdr:rowOff>64080</xdr:rowOff>
    </xdr:from>
    <xdr:to>
      <xdr:col>7</xdr:col>
      <xdr:colOff>2160</xdr:colOff>
      <xdr:row>15</xdr:row>
      <xdr:rowOff>50400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196920" y="1552680"/>
          <a:ext cx="4186080" cy="1300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8</xdr:row>
      <xdr:rowOff>6840</xdr:rowOff>
    </xdr:from>
    <xdr:to>
      <xdr:col>5</xdr:col>
      <xdr:colOff>576720</xdr:colOff>
      <xdr:row>14</xdr:row>
      <xdr:rowOff>130320</xdr:rowOff>
    </xdr:to>
    <xdr:pic>
      <xdr:nvPicPr>
        <xdr:cNvPr id="7" name="Image 4" descr=""/>
        <xdr:cNvPicPr/>
      </xdr:nvPicPr>
      <xdr:blipFill>
        <a:blip r:embed="rId1"/>
        <a:stretch/>
      </xdr:blipFill>
      <xdr:spPr>
        <a:xfrm>
          <a:off x="0" y="1495440"/>
          <a:ext cx="3725640" cy="1262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1662120</xdr:colOff>
      <xdr:row>27</xdr:row>
      <xdr:rowOff>338040</xdr:rowOff>
    </xdr:from>
    <xdr:to>
      <xdr:col>4</xdr:col>
      <xdr:colOff>1662480</xdr:colOff>
      <xdr:row>27</xdr:row>
      <xdr:rowOff>509040</xdr:rowOff>
    </xdr:to>
    <xdr:sp>
      <xdr:nvSpPr>
        <xdr:cNvPr id="8" name="TextBox 1"/>
        <xdr:cNvSpPr/>
      </xdr:nvSpPr>
      <xdr:spPr>
        <a:xfrm>
          <a:off x="7236720" y="7305120"/>
          <a:ext cx="360" cy="1710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%20*0.97" TargetMode="External"/><Relationship Id="rId3" Type="http://schemas.openxmlformats.org/officeDocument/2006/relationships/hyperlink" Target="mailto:div@cal%20*0.97" TargetMode="External"/><Relationship Id="rId4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%20*0.97" TargetMode="External"/><Relationship Id="rId3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%20*0.97" TargetMode="External"/><Relationship Id="rId3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%20*0.97" TargetMode="External"/><Relationship Id="rId3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%20*0.97" TargetMode="External"/><Relationship Id="rId3" Type="http://schemas.openxmlformats.org/officeDocument/2006/relationships/hyperlink" Target="mailto:div@cal%20%3D%20m(raw%20P1%20span/raw%20P2%20span)-6.3" TargetMode="External"/><Relationship Id="rId4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div@cal" TargetMode="External"/><Relationship Id="rId2" Type="http://schemas.openxmlformats.org/officeDocument/2006/relationships/hyperlink" Target="mailto:div@cal" TargetMode="External"/><Relationship Id="rId3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90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M18" activeCellId="0" sqref="M18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8" min="8" style="0" width="15.42"/>
    <col collapsed="false" customWidth="true" hidden="false" outlineLevel="0" max="9" min="9" style="0" width="15.15"/>
    <col collapsed="false" customWidth="true" hidden="false" outlineLevel="0" max="10" min="10" style="0" width="19.71"/>
    <col collapsed="false" customWidth="true" hidden="false" outlineLevel="0" max="11" min="11" style="0" width="18.71"/>
    <col collapsed="false" customWidth="true" hidden="false" outlineLevel="0" max="12" min="12" style="0" width="20.86"/>
    <col collapsed="false" customWidth="true" hidden="false" outlineLevel="0" max="13" min="13" style="0" width="13.14"/>
    <col collapsed="false" customWidth="true" hidden="false" outlineLevel="0" max="14" min="14" style="0" width="12.71"/>
    <col collapsed="false" customWidth="true" hidden="false" outlineLevel="0" max="15" min="15" style="0" width="10.42"/>
  </cols>
  <sheetData>
    <row r="2" customFormat="false" ht="13.8" hidden="false" customHeight="false" outlineLevel="0" collapsed="false">
      <c r="A2" s="1" t="s">
        <v>0</v>
      </c>
      <c r="B2" s="2" t="n">
        <v>43931</v>
      </c>
      <c r="C2" s="2"/>
    </row>
    <row r="3" customFormat="false" ht="15" hidden="false" customHeight="true" outlineLevel="0" collapsed="false">
      <c r="A3" s="3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A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8"/>
    </row>
    <row r="5" customFormat="false" ht="15" hidden="false" customHeight="true" outlineLevel="0" collapsed="false">
      <c r="A5" s="9" t="s">
        <v>3</v>
      </c>
      <c r="B5" s="9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customFormat="false" ht="19.7" hidden="false" customHeight="false" outlineLevel="0" collapsed="false">
      <c r="C8" s="11" t="s">
        <v>5</v>
      </c>
    </row>
    <row r="9" customFormat="false" ht="15" hidden="false" customHeight="true" outlineLevel="0" collapsed="false">
      <c r="H9" s="12" t="s">
        <v>6</v>
      </c>
      <c r="I9" s="12"/>
      <c r="J9" s="12"/>
      <c r="K9" s="12"/>
      <c r="L9" s="12"/>
      <c r="M9" s="12"/>
      <c r="N9" s="12"/>
      <c r="O9" s="12"/>
    </row>
    <row r="10" customFormat="false" ht="21" hidden="false" customHeight="true" outlineLevel="0" collapsed="false"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4" t="s">
        <v>12</v>
      </c>
      <c r="N10" s="15"/>
      <c r="O10" s="15"/>
    </row>
    <row r="11" customFormat="false" ht="13.8" hidden="false" customHeight="false" outlineLevel="0" collapsed="false">
      <c r="H11" s="15" t="n">
        <v>9570</v>
      </c>
      <c r="I11" s="15" t="n">
        <v>14757</v>
      </c>
      <c r="J11" s="15" t="n">
        <v>18249</v>
      </c>
      <c r="K11" s="15" t="n">
        <v>17500</v>
      </c>
      <c r="L11" s="15" t="n">
        <v>18249</v>
      </c>
      <c r="M11" s="15" t="n">
        <v>0.989</v>
      </c>
      <c r="N11" s="15"/>
      <c r="O11" s="15"/>
      <c r="P11" s="0" t="n">
        <f aca="false">K11/L11</f>
        <v>0.958956655159187</v>
      </c>
    </row>
    <row r="16" customFormat="false" ht="19.7" hidden="false" customHeight="false" outlineLevel="0" collapsed="false">
      <c r="B16" s="11" t="s">
        <v>13</v>
      </c>
      <c r="J16" s="16" t="s">
        <v>14</v>
      </c>
      <c r="K16" s="16"/>
      <c r="L16" s="16"/>
    </row>
    <row r="17" customFormat="false" ht="19.7" hidden="false" customHeight="false" outlineLevel="0" collapsed="false">
      <c r="B17" s="11"/>
      <c r="J17" s="13" t="s">
        <v>15</v>
      </c>
      <c r="K17" s="13" t="s">
        <v>16</v>
      </c>
      <c r="L17" s="13" t="s">
        <v>17</v>
      </c>
    </row>
    <row r="18" customFormat="false" ht="19.7" hidden="false" customHeight="false" outlineLevel="0" collapsed="false">
      <c r="B18" s="11"/>
      <c r="J18" s="15" t="n">
        <v>9902</v>
      </c>
      <c r="K18" s="15" t="n">
        <v>19513</v>
      </c>
      <c r="L18" s="15" t="n">
        <v>18504</v>
      </c>
      <c r="M18" s="0" t="n">
        <f aca="false">K18/L18</f>
        <v>1.05452875054042</v>
      </c>
    </row>
    <row r="19" customFormat="false" ht="21" hidden="false" customHeight="true" outlineLevel="0" collapsed="false">
      <c r="B19" s="11"/>
      <c r="H19" s="17" t="s">
        <v>18</v>
      </c>
      <c r="I19" s="17"/>
      <c r="J19" s="17"/>
      <c r="K19" s="17"/>
      <c r="L19" s="17"/>
      <c r="M19" s="17"/>
      <c r="N19" s="17"/>
      <c r="O19" s="17"/>
    </row>
    <row r="20" customFormat="false" ht="21" hidden="false" customHeight="true" outlineLevel="0" collapsed="false">
      <c r="B20" s="11"/>
      <c r="H20" s="17"/>
      <c r="I20" s="17"/>
      <c r="J20" s="17"/>
      <c r="K20" s="17"/>
      <c r="L20" s="17"/>
      <c r="M20" s="17"/>
      <c r="N20" s="17"/>
      <c r="O20" s="17"/>
    </row>
    <row r="21" customFormat="false" ht="19.7" hidden="false" customHeight="false" outlineLevel="0" collapsed="false">
      <c r="B21" s="11"/>
      <c r="H21" s="17"/>
      <c r="I21" s="17"/>
      <c r="J21" s="17"/>
      <c r="K21" s="17"/>
      <c r="L21" s="17"/>
      <c r="M21" s="17"/>
      <c r="N21" s="17"/>
      <c r="O21" s="17"/>
    </row>
    <row r="22" customFormat="false" ht="19.7" hidden="false" customHeight="false" outlineLevel="0" collapsed="false">
      <c r="B22" s="11"/>
      <c r="K22" s="18"/>
      <c r="L22" s="18"/>
      <c r="M22" s="18"/>
      <c r="N22" s="18"/>
      <c r="O22" s="18"/>
    </row>
    <row r="23" customFormat="false" ht="21" hidden="false" customHeight="true" outlineLevel="0" collapsed="false">
      <c r="B23" s="11"/>
      <c r="H23" s="19" t="s">
        <v>19</v>
      </c>
      <c r="I23" s="19"/>
      <c r="J23" s="19"/>
      <c r="K23" s="19"/>
      <c r="L23" s="19"/>
      <c r="M23" s="19"/>
      <c r="N23" s="19"/>
      <c r="O23" s="19"/>
    </row>
    <row r="24" customFormat="false" ht="15" hidden="false" customHeight="true" outlineLevel="0" collapsed="false">
      <c r="H24" s="12" t="s">
        <v>20</v>
      </c>
      <c r="I24" s="12"/>
      <c r="J24" s="12"/>
      <c r="K24" s="12"/>
      <c r="L24" s="12"/>
      <c r="M24" s="12"/>
      <c r="N24" s="12"/>
      <c r="O24" s="12"/>
    </row>
    <row r="25" customFormat="false" ht="15.75" hidden="false" customHeight="true" outlineLevel="0" collapsed="false">
      <c r="H25" s="20" t="s">
        <v>21</v>
      </c>
      <c r="I25" s="20" t="s">
        <v>22</v>
      </c>
      <c r="J25" s="20" t="s">
        <v>23</v>
      </c>
      <c r="K25" s="20" t="s">
        <v>24</v>
      </c>
      <c r="L25" s="20" t="s">
        <v>25</v>
      </c>
      <c r="M25" s="21" t="s">
        <v>26</v>
      </c>
      <c r="N25" s="22"/>
      <c r="O25" s="23"/>
    </row>
    <row r="26" customFormat="false" ht="15.75" hidden="false" customHeight="true" outlineLevel="0" collapsed="false">
      <c r="H26" s="24" t="n">
        <v>16408</v>
      </c>
      <c r="I26" s="24" t="n">
        <v>17489</v>
      </c>
      <c r="J26" s="25" t="n">
        <f aca="false">H26/$M$11</f>
        <v>16590.4954499494</v>
      </c>
      <c r="K26" s="26" t="n">
        <f aca="false">14.4-(7.07*(H26/I26))</f>
        <v>7.76699868488764</v>
      </c>
      <c r="L26" s="24" t="n">
        <f aca="false">0.2*H26</f>
        <v>3281.6</v>
      </c>
      <c r="M26" s="27" t="n">
        <f aca="false">0.97*$M$11*4096</f>
        <v>3929.41568</v>
      </c>
      <c r="N26" s="28"/>
      <c r="O26" s="24"/>
    </row>
    <row r="27" customFormat="false" ht="15.75" hidden="false" customHeight="true" outlineLevel="0" collapsed="false">
      <c r="H27" s="29"/>
      <c r="I27" s="29"/>
      <c r="J27" s="29"/>
    </row>
    <row r="28" customFormat="false" ht="15.75" hidden="false" customHeight="true" outlineLevel="0" collapsed="false">
      <c r="I28" s="30" t="s">
        <v>27</v>
      </c>
      <c r="J28" s="30"/>
      <c r="K28" s="30"/>
      <c r="L28" s="30"/>
      <c r="M28" s="30"/>
      <c r="N28" s="30"/>
    </row>
    <row r="29" customFormat="false" ht="15" hidden="false" customHeight="true" outlineLevel="0" collapsed="false">
      <c r="I29" s="30"/>
      <c r="J29" s="30"/>
      <c r="K29" s="30"/>
      <c r="L29" s="30"/>
      <c r="M29" s="30"/>
      <c r="N29" s="30"/>
    </row>
    <row r="30" customFormat="false" ht="25" hidden="false" customHeight="false" outlineLevel="0" collapsed="false">
      <c r="H30" s="31" t="s">
        <v>28</v>
      </c>
      <c r="I30" s="31" t="s">
        <v>29</v>
      </c>
      <c r="J30" s="32" t="s">
        <v>30</v>
      </c>
      <c r="K30" s="32" t="s">
        <v>31</v>
      </c>
      <c r="L30" s="32" t="s">
        <v>32</v>
      </c>
      <c r="M30" s="31" t="s">
        <v>33</v>
      </c>
      <c r="N30" s="31" t="s">
        <v>34</v>
      </c>
      <c r="O30" s="31" t="s">
        <v>35</v>
      </c>
    </row>
    <row r="31" customFormat="false" ht="13.8" hidden="false" customHeight="false" outlineLevel="0" collapsed="false">
      <c r="H31" s="33"/>
      <c r="I31" s="34"/>
      <c r="J31" s="34"/>
      <c r="K31" s="34"/>
      <c r="L31" s="34"/>
      <c r="M31" s="34" t="n">
        <f aca="false">M26</f>
        <v>3929.41568</v>
      </c>
      <c r="N31" s="35"/>
      <c r="O31" s="36"/>
    </row>
    <row r="32" customFormat="false" ht="13.8" hidden="false" customHeight="false" outlineLevel="0" collapsed="false">
      <c r="H32" s="37" t="n">
        <f aca="false">($K$18-(1.4*($J$18-$H$11))-$I$11)</f>
        <v>4291.2</v>
      </c>
      <c r="I32" s="38" t="n">
        <f aca="false">($L$18-(1.05*($J$18-$H$11))-$J$11)</f>
        <v>-93.5999999999985</v>
      </c>
      <c r="J32" s="38" t="n">
        <f aca="false">($K$26*(H32/I32)-6.3)*4096</f>
        <v>-1484337.22011746</v>
      </c>
      <c r="K32" s="38" t="n">
        <f aca="false">IF(J32&lt;0,65535+J32,J32)</f>
        <v>-1418802.22011746</v>
      </c>
      <c r="L32" s="38" t="n">
        <f aca="false">IF(K32 &lt; $M$26,$M$26,K32)</f>
        <v>3929.41568</v>
      </c>
      <c r="M32" s="38" t="n">
        <f aca="false">IF(H32&lt;$L$26,(M31),((M31*3)+L32)/4)</f>
        <v>3929.41568</v>
      </c>
      <c r="N32" s="39" t="n">
        <f aca="false">IF((H32/$J$26)/(M32/4096)*100 &gt; 100, 100, (H32/$J$26)/(M32/4096)*100)</f>
        <v>26.9619546914505</v>
      </c>
      <c r="O32" s="40" t="n">
        <f aca="false">(IF(((N32/100)*(460)+50)&lt;510,((N32/100)*(460)+50),510))/100</f>
        <v>1.74024991580672</v>
      </c>
    </row>
    <row r="33" customFormat="false" ht="13.8" hidden="false" customHeight="false" outlineLevel="0" collapsed="false">
      <c r="H33" s="37" t="n">
        <f aca="false">($K$18-(1.4*($J$18-$H$11))-$I$11)</f>
        <v>4291.2</v>
      </c>
      <c r="I33" s="38" t="n">
        <f aca="false">($L$18-(1.05*($J$18-$H$11))-$J$11)</f>
        <v>-93.5999999999985</v>
      </c>
      <c r="J33" s="38" t="n">
        <f aca="false">($K$26*(H33/I33)-6.3)*4096</f>
        <v>-1484337.22011746</v>
      </c>
      <c r="K33" s="38" t="n">
        <f aca="false">IF(J33&lt;0,65535+J33,J33)</f>
        <v>-1418802.22011746</v>
      </c>
      <c r="L33" s="38" t="n">
        <f aca="false">IF(K33 &lt; $M$26,$M$26,K33)</f>
        <v>3929.41568</v>
      </c>
      <c r="M33" s="38" t="n">
        <f aca="false">IF(H33&lt;$L$26,(M32),((M32*3)+L33)/4)</f>
        <v>3929.41568</v>
      </c>
      <c r="N33" s="39" t="n">
        <f aca="false">IF((H33/$J$26)/(M33/4096)*100 &gt; 100, 100, (H33/$J$26)/(M33/4096)*100)</f>
        <v>26.9619546914505</v>
      </c>
      <c r="O33" s="40" t="n">
        <f aca="false">(IF(((N33/100)*(460)+50)&lt;510,((N33/100)*(460)+50),510))/100</f>
        <v>1.74024991580672</v>
      </c>
    </row>
    <row r="34" customFormat="false" ht="13.8" hidden="false" customHeight="false" outlineLevel="0" collapsed="false">
      <c r="H34" s="37" t="n">
        <f aca="false">($K$18-(1.4*($J$18-$H$11))-$I$11)</f>
        <v>4291.2</v>
      </c>
      <c r="I34" s="38" t="n">
        <f aca="false">($L$18-(1.05*($J$18-$H$11))-$J$11)</f>
        <v>-93.5999999999985</v>
      </c>
      <c r="J34" s="38" t="n">
        <f aca="false">($K$26*(H34/I34)-6.3)*4096</f>
        <v>-1484337.22011746</v>
      </c>
      <c r="K34" s="38" t="n">
        <f aca="false">IF(J34&lt;0,65535+J34,J34)</f>
        <v>-1418802.22011746</v>
      </c>
      <c r="L34" s="38" t="n">
        <f aca="false">IF(K34 &lt; $M$26,$M$26,K34)</f>
        <v>3929.41568</v>
      </c>
      <c r="M34" s="38" t="n">
        <f aca="false">IF(H34&lt;$L$26,(M33),((M33*3)+L34)/4)</f>
        <v>3929.41568</v>
      </c>
      <c r="N34" s="39" t="n">
        <f aca="false">IF((H34/$J$26)/(M34/4096)*100 &gt; 100, 100, (H34/$J$26)/(M34/4096)*100)</f>
        <v>26.9619546914505</v>
      </c>
      <c r="O34" s="40" t="n">
        <f aca="false">(IF(((N34/100)*(460)+50)&lt;510,((N34/100)*(460)+50),510))/100</f>
        <v>1.74024991580672</v>
      </c>
    </row>
    <row r="35" customFormat="false" ht="13.8" hidden="false" customHeight="false" outlineLevel="0" collapsed="false">
      <c r="H35" s="37" t="n">
        <f aca="false">($K$18-(1.4*($J$18-$H$11))-$I$11)</f>
        <v>4291.2</v>
      </c>
      <c r="I35" s="38" t="n">
        <f aca="false">($L$18-(1.05*($J$18-$H$11))-$J$11)</f>
        <v>-93.5999999999985</v>
      </c>
      <c r="J35" s="38" t="n">
        <f aca="false">($K$26*(H35/I35)-6.3)*4096</f>
        <v>-1484337.22011746</v>
      </c>
      <c r="K35" s="38" t="n">
        <f aca="false">IF(J35&lt;0,65535+J35,J35)</f>
        <v>-1418802.22011746</v>
      </c>
      <c r="L35" s="38" t="n">
        <f aca="false">IF(K35 &lt; $M$26,$M$26,K35)</f>
        <v>3929.41568</v>
      </c>
      <c r="M35" s="38" t="n">
        <f aca="false">IF(H35&lt;$L$26,(M34),((M34*3)+L35)/4)</f>
        <v>3929.41568</v>
      </c>
      <c r="N35" s="39" t="n">
        <f aca="false">IF((H35/$J$26)/(M35/4096)*100 &gt; 100, 100, (H35/$J$26)/(M35/4096)*100)</f>
        <v>26.9619546914505</v>
      </c>
      <c r="O35" s="40" t="n">
        <f aca="false">(IF(((N35/100)*(460)+50)&lt;510,((N35/100)*(460)+50),510))/100</f>
        <v>1.74024991580672</v>
      </c>
    </row>
    <row r="36" customFormat="false" ht="13.8" hidden="false" customHeight="false" outlineLevel="0" collapsed="false">
      <c r="H36" s="37" t="n">
        <f aca="false">($K$18-(1.4*($J$18-$H$11))-$I$11)</f>
        <v>4291.2</v>
      </c>
      <c r="I36" s="38" t="n">
        <f aca="false">($L$18-(1.05*($J$18-$H$11))-$J$11)</f>
        <v>-93.5999999999985</v>
      </c>
      <c r="J36" s="38" t="n">
        <f aca="false">($K$26*(H36/I36)-6.3)*4096</f>
        <v>-1484337.22011746</v>
      </c>
      <c r="K36" s="38" t="n">
        <f aca="false">IF(J36&lt;0,65535+J36,J36)</f>
        <v>-1418802.22011746</v>
      </c>
      <c r="L36" s="38" t="n">
        <f aca="false">IF(K36 &lt; $M$26,$M$26,K36)</f>
        <v>3929.41568</v>
      </c>
      <c r="M36" s="38" t="n">
        <f aca="false">IF(H36&lt;$L$26,(M35),((M35*3)+L36)/4)</f>
        <v>3929.41568</v>
      </c>
      <c r="N36" s="39" t="n">
        <f aca="false">IF((H36/$J$26)/(M36/4096)*100 &gt; 100, 100, (H36/$J$26)/(M36/4096)*100)</f>
        <v>26.9619546914505</v>
      </c>
      <c r="O36" s="40" t="n">
        <f aca="false">(IF(((N36/100)*(460)+50)&lt;510,((N36/100)*(460)+50),510))/100</f>
        <v>1.74024991580672</v>
      </c>
    </row>
    <row r="37" customFormat="false" ht="13.8" hidden="false" customHeight="false" outlineLevel="0" collapsed="false">
      <c r="H37" s="37" t="n">
        <f aca="false">($K$18-(1.4*($J$18-$H$11))-$I$11)</f>
        <v>4291.2</v>
      </c>
      <c r="I37" s="38" t="n">
        <f aca="false">($L$18-(1.05*($J$18-$H$11))-$J$11)</f>
        <v>-93.5999999999985</v>
      </c>
      <c r="J37" s="38" t="n">
        <f aca="false">($K$26*(H37/I37)-6.3)*4096</f>
        <v>-1484337.22011746</v>
      </c>
      <c r="K37" s="38" t="n">
        <f aca="false">IF(J37&lt;0,65535+J37,J37)</f>
        <v>-1418802.22011746</v>
      </c>
      <c r="L37" s="38" t="n">
        <f aca="false">IF(K37 &lt; $M$26,$M$26,K37)</f>
        <v>3929.41568</v>
      </c>
      <c r="M37" s="38" t="n">
        <f aca="false">IF(H37&lt;$L$26,(M36),((M36*3)+L37)/4)</f>
        <v>3929.41568</v>
      </c>
      <c r="N37" s="39" t="n">
        <f aca="false">IF((H37/$J$26)/(M37/4096)*100 &gt; 100, 100, (H37/$J$26)/(M37/4096)*100)</f>
        <v>26.9619546914505</v>
      </c>
      <c r="O37" s="40" t="n">
        <f aca="false">(IF(((N37/100)*(460)+50)&lt;510,((N37/100)*(460)+50),510))/100</f>
        <v>1.74024991580672</v>
      </c>
    </row>
    <row r="38" customFormat="false" ht="13.8" hidden="false" customHeight="false" outlineLevel="0" collapsed="false">
      <c r="H38" s="37" t="n">
        <f aca="false">($K$18-(1.4*($J$18-$H$11))-$I$11)</f>
        <v>4291.2</v>
      </c>
      <c r="I38" s="38" t="n">
        <f aca="false">($L$18-(1.05*($J$18-$H$11))-$J$11)</f>
        <v>-93.5999999999985</v>
      </c>
      <c r="J38" s="38" t="n">
        <f aca="false">($K$26*(H38/I38)-6.3)*4096</f>
        <v>-1484337.22011746</v>
      </c>
      <c r="K38" s="38" t="n">
        <f aca="false">IF(J38&lt;0,65535+J38,J38)</f>
        <v>-1418802.22011746</v>
      </c>
      <c r="L38" s="38" t="n">
        <f aca="false">IF(K38 &lt; $M$26,$M$26,K38)</f>
        <v>3929.41568</v>
      </c>
      <c r="M38" s="38" t="n">
        <f aca="false">IF(H38&lt;$L$26,(M37),((M37*3)+L38)/4)</f>
        <v>3929.41568</v>
      </c>
      <c r="N38" s="39" t="n">
        <f aca="false">IF((H38/$J$26)/(M38/4096)*100 &gt; 100, 100, (H38/$J$26)/(M38/4096)*100)</f>
        <v>26.9619546914505</v>
      </c>
      <c r="O38" s="40" t="n">
        <f aca="false">(IF(((N38/100)*(460)+50)&lt;510,((N38/100)*(460)+50),510))/100</f>
        <v>1.74024991580672</v>
      </c>
    </row>
    <row r="39" customFormat="false" ht="13.8" hidden="false" customHeight="false" outlineLevel="0" collapsed="false">
      <c r="H39" s="37" t="n">
        <f aca="false">($K$18-(1.4*($J$18-$H$11))-$I$11)</f>
        <v>4291.2</v>
      </c>
      <c r="I39" s="38" t="n">
        <f aca="false">($L$18-(1.05*($J$18-$H$11))-$J$11)</f>
        <v>-93.5999999999985</v>
      </c>
      <c r="J39" s="38" t="n">
        <f aca="false">($K$26*(H39/I39)-6.3)*4096</f>
        <v>-1484337.22011746</v>
      </c>
      <c r="K39" s="38" t="n">
        <f aca="false">IF(J39&lt;0,65535+J39,J39)</f>
        <v>-1418802.22011746</v>
      </c>
      <c r="L39" s="38" t="n">
        <f aca="false">IF(K39 &lt; $M$26,$M$26,K39)</f>
        <v>3929.41568</v>
      </c>
      <c r="M39" s="38" t="n">
        <f aca="false">IF(H39&lt;$L$26,(M38),((M38*3)+L39)/4)</f>
        <v>3929.41568</v>
      </c>
      <c r="N39" s="39" t="n">
        <f aca="false">IF((H39/$J$26)/(M39/4096)*100 &gt; 100, 100, (H39/$J$26)/(M39/4096)*100)</f>
        <v>26.9619546914505</v>
      </c>
      <c r="O39" s="40" t="n">
        <f aca="false">(IF(((N39/100)*(460)+50)&lt;510,((N39/100)*(460)+50),510))/100</f>
        <v>1.74024991580672</v>
      </c>
    </row>
    <row r="40" customFormat="false" ht="13.8" hidden="false" customHeight="false" outlineLevel="0" collapsed="false">
      <c r="H40" s="37" t="n">
        <f aca="false">($K$18-(1.4*($J$18-$H$11))-$I$11)</f>
        <v>4291.2</v>
      </c>
      <c r="I40" s="38" t="n">
        <f aca="false">($L$18-(1.05*($J$18-$H$11))-$J$11)</f>
        <v>-93.5999999999985</v>
      </c>
      <c r="J40" s="38" t="n">
        <f aca="false">($K$26*(H40/I40)-6.3)*4096</f>
        <v>-1484337.22011746</v>
      </c>
      <c r="K40" s="38" t="n">
        <f aca="false">IF(J40&lt;0,65535+J40,J40)</f>
        <v>-1418802.22011746</v>
      </c>
      <c r="L40" s="38" t="n">
        <f aca="false">IF(K40 &lt; $M$26,$M$26,K40)</f>
        <v>3929.41568</v>
      </c>
      <c r="M40" s="38" t="n">
        <f aca="false">IF(H40&lt;$L$26,(M39),((M39*3)+L40)/4)</f>
        <v>3929.41568</v>
      </c>
      <c r="N40" s="39" t="n">
        <f aca="false">IF((H40/$J$26)/(M40/4096)*100 &gt; 100, 100, (H40/$J$26)/(M40/4096)*100)</f>
        <v>26.9619546914505</v>
      </c>
      <c r="O40" s="40" t="n">
        <f aca="false">(IF(((N40/100)*(460)+50)&lt;510,((N40/100)*(460)+50),510))/100</f>
        <v>1.74024991580672</v>
      </c>
    </row>
    <row r="41" customFormat="false" ht="13.8" hidden="false" customHeight="false" outlineLevel="0" collapsed="false">
      <c r="H41" s="37" t="n">
        <f aca="false">($K$18-(1.4*($J$18-$H$11))-$I$11)</f>
        <v>4291.2</v>
      </c>
      <c r="I41" s="38" t="n">
        <f aca="false">($L$18-(1.05*($J$18-$H$11))-$J$11)</f>
        <v>-93.5999999999985</v>
      </c>
      <c r="J41" s="38" t="n">
        <f aca="false">($K$26*(H41/I41)-6.3)*4096</f>
        <v>-1484337.22011746</v>
      </c>
      <c r="K41" s="38" t="n">
        <f aca="false">IF(J41&lt;0,65535+J41,J41)</f>
        <v>-1418802.22011746</v>
      </c>
      <c r="L41" s="38" t="n">
        <f aca="false">IF(K41 &lt; $M$26,$M$26,K41)</f>
        <v>3929.41568</v>
      </c>
      <c r="M41" s="38" t="n">
        <f aca="false">IF(H41&lt;$L$26,(M40),((M40*3)+L41)/4)</f>
        <v>3929.41568</v>
      </c>
      <c r="N41" s="39" t="n">
        <f aca="false">IF((H41/$J$26)/(M41/4096)*100 &gt; 100, 100, (H41/$J$26)/(M41/4096)*100)</f>
        <v>26.9619546914505</v>
      </c>
      <c r="O41" s="40" t="n">
        <f aca="false">(IF(((N41/100)*(460)+50)&lt;510,((N41/100)*(460)+50),510))/100</f>
        <v>1.74024991580672</v>
      </c>
    </row>
    <row r="42" customFormat="false" ht="13.8" hidden="false" customHeight="false" outlineLevel="0" collapsed="false">
      <c r="H42" s="37" t="n">
        <f aca="false">($K$18-(1.4*($J$18-$H$11))-$I$11)</f>
        <v>4291.2</v>
      </c>
      <c r="I42" s="38" t="n">
        <f aca="false">($L$18-(1.05*($J$18-$H$11))-$J$11)</f>
        <v>-93.5999999999985</v>
      </c>
      <c r="J42" s="38" t="n">
        <f aca="false">($K$26*(H42/I42)-6.3)*4096</f>
        <v>-1484337.22011746</v>
      </c>
      <c r="K42" s="38" t="n">
        <f aca="false">IF(J42&lt;0,65535+J42,J42)</f>
        <v>-1418802.22011746</v>
      </c>
      <c r="L42" s="38" t="n">
        <f aca="false">IF(K42 &lt; $M$26,$M$26,K42)</f>
        <v>3929.41568</v>
      </c>
      <c r="M42" s="38" t="n">
        <f aca="false">IF(H42&lt;$L$26,(M41),((M41*3)+L42)/4)</f>
        <v>3929.41568</v>
      </c>
      <c r="N42" s="39" t="n">
        <f aca="false">IF((H42/$J$26)/(M42/4096)*100 &gt; 100, 100, (H42/$J$26)/(M42/4096)*100)</f>
        <v>26.9619546914505</v>
      </c>
      <c r="O42" s="40" t="n">
        <f aca="false">(IF(((N42/100)*(460)+50)&lt;510,((N42/100)*(460)+50),510))/100</f>
        <v>1.74024991580672</v>
      </c>
    </row>
    <row r="43" customFormat="false" ht="13.8" hidden="false" customHeight="false" outlineLevel="0" collapsed="false">
      <c r="H43" s="37" t="n">
        <f aca="false">($K$18-(1.4*($J$18-$H$11))-$I$11)</f>
        <v>4291.2</v>
      </c>
      <c r="I43" s="38" t="n">
        <f aca="false">($L$18-(1.05*($J$18-$H$11))-$J$11)</f>
        <v>-93.5999999999985</v>
      </c>
      <c r="J43" s="38" t="n">
        <f aca="false">($K$26*(H43/I43)-6.3)*4096</f>
        <v>-1484337.22011746</v>
      </c>
      <c r="K43" s="38" t="n">
        <f aca="false">IF(J43&lt;0,65535+J43,J43)</f>
        <v>-1418802.22011746</v>
      </c>
      <c r="L43" s="38" t="n">
        <f aca="false">IF(K43 &lt; $M$26,$M$26,K43)</f>
        <v>3929.41568</v>
      </c>
      <c r="M43" s="38" t="n">
        <f aca="false">IF(H43&lt;$L$26,(M42),((M42*3)+L43)/4)</f>
        <v>3929.41568</v>
      </c>
      <c r="N43" s="39" t="n">
        <f aca="false">IF((H43/$J$26)/(M43/4096)*100 &gt; 100, 100, (H43/$J$26)/(M43/4096)*100)</f>
        <v>26.9619546914505</v>
      </c>
      <c r="O43" s="40" t="n">
        <f aca="false">(IF(((N43/100)*(460)+50)&lt;510,((N43/100)*(460)+50),510))/100</f>
        <v>1.74024991580672</v>
      </c>
    </row>
    <row r="44" customFormat="false" ht="13.8" hidden="false" customHeight="false" outlineLevel="0" collapsed="false">
      <c r="H44" s="37" t="n">
        <f aca="false">($K$18-(1.4*($J$18-$H$11))-$I$11)</f>
        <v>4291.2</v>
      </c>
      <c r="I44" s="38" t="n">
        <f aca="false">($L$18-(1.05*($J$18-$H$11))-$J$11)</f>
        <v>-93.5999999999985</v>
      </c>
      <c r="J44" s="38" t="n">
        <f aca="false">($K$26*(H44/I44)-6.3)*4096</f>
        <v>-1484337.22011746</v>
      </c>
      <c r="K44" s="38" t="n">
        <f aca="false">IF(J44&lt;0,65535+J44,J44)</f>
        <v>-1418802.22011746</v>
      </c>
      <c r="L44" s="38" t="n">
        <f aca="false">IF(K44 &lt; $M$26,$M$26,K44)</f>
        <v>3929.41568</v>
      </c>
      <c r="M44" s="38" t="n">
        <f aca="false">IF(H44&lt;$L$26,(M43),((M43*3)+L44)/4)</f>
        <v>3929.41568</v>
      </c>
      <c r="N44" s="39" t="n">
        <f aca="false">IF((H44/$J$26)/(M44/4096)*100 &gt; 100, 100, (H44/$J$26)/(M44/4096)*100)</f>
        <v>26.9619546914505</v>
      </c>
      <c r="O44" s="40" t="n">
        <f aca="false">(IF(((N44/100)*(460)+50)&lt;510,((N44/100)*(460)+50),510))/100</f>
        <v>1.74024991580672</v>
      </c>
    </row>
    <row r="45" customFormat="false" ht="13.8" hidden="false" customHeight="false" outlineLevel="0" collapsed="false">
      <c r="H45" s="37" t="n">
        <f aca="false">($K$18-(1.4*($J$18-$H$11))-$I$11)</f>
        <v>4291.2</v>
      </c>
      <c r="I45" s="38" t="n">
        <f aca="false">($L$18-(1.05*($J$18-$H$11))-$J$11)</f>
        <v>-93.5999999999985</v>
      </c>
      <c r="J45" s="38" t="n">
        <f aca="false">($K$26*(H45/I45)-6.3)*4096</f>
        <v>-1484337.22011746</v>
      </c>
      <c r="K45" s="38" t="n">
        <f aca="false">IF(J45&lt;0,65535+J45,J45)</f>
        <v>-1418802.22011746</v>
      </c>
      <c r="L45" s="38" t="n">
        <f aca="false">IF(K45 &lt; $M$26,$M$26,K45)</f>
        <v>3929.41568</v>
      </c>
      <c r="M45" s="38" t="n">
        <f aca="false">IF(H45&lt;$L$26,(M44),((M44*3)+L45)/4)</f>
        <v>3929.41568</v>
      </c>
      <c r="N45" s="39" t="n">
        <f aca="false">IF((H45/$J$26)/(M45/4096)*100 &gt; 100, 100, (H45/$J$26)/(M45/4096)*100)</f>
        <v>26.9619546914505</v>
      </c>
      <c r="O45" s="40" t="n">
        <f aca="false">(IF(((N45/100)*(460)+50)&lt;510,((N45/100)*(460)+50),510))/100</f>
        <v>1.74024991580672</v>
      </c>
    </row>
    <row r="46" customFormat="false" ht="13.8" hidden="false" customHeight="false" outlineLevel="0" collapsed="false">
      <c r="H46" s="37" t="n">
        <f aca="false">($K$18-(1.4*($J$18-$H$11))-$I$11)</f>
        <v>4291.2</v>
      </c>
      <c r="I46" s="38" t="n">
        <f aca="false">($L$18-(1.05*($J$18-$H$11))-$J$11)</f>
        <v>-93.5999999999985</v>
      </c>
      <c r="J46" s="38" t="n">
        <f aca="false">($K$26*(H46/I46)-6.3)*4096</f>
        <v>-1484337.22011746</v>
      </c>
      <c r="K46" s="38" t="n">
        <f aca="false">IF(J46&lt;0,65535+J46,J46)</f>
        <v>-1418802.22011746</v>
      </c>
      <c r="L46" s="38" t="n">
        <f aca="false">IF(K46 &lt; $M$26,$M$26,K46)</f>
        <v>3929.41568</v>
      </c>
      <c r="M46" s="38" t="n">
        <f aca="false">IF(H46&lt;$L$26,(M45),((M45*3)+L46)/4)</f>
        <v>3929.41568</v>
      </c>
      <c r="N46" s="39" t="n">
        <f aca="false">IF((H46/$J$26)/(M46/4096)*100 &gt; 100, 100, (H46/$J$26)/(M46/4096)*100)</f>
        <v>26.9619546914505</v>
      </c>
      <c r="O46" s="40" t="n">
        <f aca="false">(IF(((N46/100)*(460)+50)&lt;510,((N46/100)*(460)+50),510))/100</f>
        <v>1.74024991580672</v>
      </c>
    </row>
    <row r="47" customFormat="false" ht="13.8" hidden="false" customHeight="false" outlineLevel="0" collapsed="false">
      <c r="H47" s="37" t="n">
        <f aca="false">($K$18-(1.4*($J$18-$H$11))-$I$11)</f>
        <v>4291.2</v>
      </c>
      <c r="I47" s="38" t="n">
        <f aca="false">($L$18-(1.05*($J$18-$H$11))-$J$11)</f>
        <v>-93.5999999999985</v>
      </c>
      <c r="J47" s="38" t="n">
        <f aca="false">($K$26*(H47/I47)-6.3)*4096</f>
        <v>-1484337.22011746</v>
      </c>
      <c r="K47" s="38" t="n">
        <f aca="false">IF(J47&lt;0,65535+J47,J47)</f>
        <v>-1418802.22011746</v>
      </c>
      <c r="L47" s="38" t="n">
        <f aca="false">IF(K47 &lt; $M$26,$M$26,K47)</f>
        <v>3929.41568</v>
      </c>
      <c r="M47" s="38" t="n">
        <f aca="false">IF(H47&lt;$L$26,(M46),((M46*3)+L47)/4)</f>
        <v>3929.41568</v>
      </c>
      <c r="N47" s="39" t="n">
        <f aca="false">IF((H47/$J$26)/(M47/4096)*100 &gt; 100, 100, (H47/$J$26)/(M47/4096)*100)</f>
        <v>26.9619546914505</v>
      </c>
      <c r="O47" s="40" t="n">
        <f aca="false">(IF(((N47/100)*(460)+50)&lt;510,((N47/100)*(460)+50),510))/100</f>
        <v>1.74024991580672</v>
      </c>
    </row>
    <row r="48" customFormat="false" ht="13.8" hidden="false" customHeight="false" outlineLevel="0" collapsed="false">
      <c r="H48" s="37" t="n">
        <f aca="false">($K$18-(1.4*($J$18-$H$11))-$I$11)</f>
        <v>4291.2</v>
      </c>
      <c r="I48" s="38" t="n">
        <f aca="false">($L$18-(1.05*($J$18-$H$11))-$J$11)</f>
        <v>-93.5999999999985</v>
      </c>
      <c r="J48" s="38" t="n">
        <f aca="false">($K$26*(H48/I48)-6.3)*4096</f>
        <v>-1484337.22011746</v>
      </c>
      <c r="K48" s="38" t="n">
        <f aca="false">IF(J48&lt;0,65535+J48,J48)</f>
        <v>-1418802.22011746</v>
      </c>
      <c r="L48" s="38" t="n">
        <f aca="false">IF(K48 &lt; $M$26,$M$26,K48)</f>
        <v>3929.41568</v>
      </c>
      <c r="M48" s="38" t="n">
        <f aca="false">IF(H48&lt;$L$26,(M47),((M47*3)+L48)/4)</f>
        <v>3929.41568</v>
      </c>
      <c r="N48" s="39" t="n">
        <f aca="false">IF((H48/$J$26)/(M48/4096)*100 &gt; 100, 100, (H48/$J$26)/(M48/4096)*100)</f>
        <v>26.9619546914505</v>
      </c>
      <c r="O48" s="40" t="n">
        <f aca="false">(IF(((N48/100)*(460)+50)&lt;510,((N48/100)*(460)+50),510))/100</f>
        <v>1.74024991580672</v>
      </c>
    </row>
    <row r="49" customFormat="false" ht="13.8" hidden="false" customHeight="false" outlineLevel="0" collapsed="false">
      <c r="H49" s="37" t="n">
        <f aca="false">($K$18-(1.4*($J$18-$H$11))-$I$11)</f>
        <v>4291.2</v>
      </c>
      <c r="I49" s="38" t="n">
        <f aca="false">($L$18-(1.05*($J$18-$H$11))-$J$11)</f>
        <v>-93.5999999999985</v>
      </c>
      <c r="J49" s="38" t="n">
        <f aca="false">($K$26*(H49/I49)-6.3)*4096</f>
        <v>-1484337.22011746</v>
      </c>
      <c r="K49" s="38" t="n">
        <f aca="false">IF(J49&lt;0,65535+J49,J49)</f>
        <v>-1418802.22011746</v>
      </c>
      <c r="L49" s="38" t="n">
        <f aca="false">IF(K49 &lt; $M$26,$M$26,K49)</f>
        <v>3929.41568</v>
      </c>
      <c r="M49" s="38" t="n">
        <f aca="false">IF(H49&lt;$L$26,(M48),((M48*3)+L49)/4)</f>
        <v>3929.41568</v>
      </c>
      <c r="N49" s="39" t="n">
        <f aca="false">IF((H49/$J$26)/(M49/4096)*100 &gt; 100, 100, (H49/$J$26)/(M49/4096)*100)</f>
        <v>26.9619546914505</v>
      </c>
      <c r="O49" s="40" t="n">
        <f aca="false">(IF(((N49/100)*(460)+50)&lt;510,((N49/100)*(460)+50),510))/100</f>
        <v>1.74024991580672</v>
      </c>
    </row>
    <row r="50" customFormat="false" ht="13.8" hidden="false" customHeight="false" outlineLevel="0" collapsed="false">
      <c r="H50" s="37" t="n">
        <f aca="false">($K$18-(1.4*($J$18-$H$11))-$I$11)</f>
        <v>4291.2</v>
      </c>
      <c r="I50" s="38" t="n">
        <f aca="false">($L$18-(1.05*($J$18-$H$11))-$J$11)</f>
        <v>-93.5999999999985</v>
      </c>
      <c r="J50" s="38" t="n">
        <f aca="false">($K$26*(H50/I50)-6.3)*4096</f>
        <v>-1484337.22011746</v>
      </c>
      <c r="K50" s="38" t="n">
        <f aca="false">IF(J50&lt;0,65535+J50,J50)</f>
        <v>-1418802.22011746</v>
      </c>
      <c r="L50" s="38" t="n">
        <f aca="false">IF(K50 &lt; $M$26,$M$26,K50)</f>
        <v>3929.41568</v>
      </c>
      <c r="M50" s="38" t="n">
        <f aca="false">IF(H50&lt;$L$26,(M49),((M49*3)+L50)/4)</f>
        <v>3929.41568</v>
      </c>
      <c r="N50" s="39" t="n">
        <f aca="false">IF((H50/$J$26)/(M50/4096)*100 &gt; 100, 100, (H50/$J$26)/(M50/4096)*100)</f>
        <v>26.9619546914505</v>
      </c>
      <c r="O50" s="40" t="n">
        <f aca="false">(IF(((N50/100)*(460)+50)&lt;510,((N50/100)*(460)+50),510))/100</f>
        <v>1.74024991580672</v>
      </c>
    </row>
    <row r="51" customFormat="false" ht="13.8" hidden="false" customHeight="false" outlineLevel="0" collapsed="false">
      <c r="H51" s="37" t="n">
        <f aca="false">($K$18-(1.4*($J$18-$H$11))-$I$11)</f>
        <v>4291.2</v>
      </c>
      <c r="I51" s="38" t="n">
        <f aca="false">($L$18-(1.05*($J$18-$H$11))-$J$11)</f>
        <v>-93.5999999999985</v>
      </c>
      <c r="J51" s="38" t="n">
        <f aca="false">($K$26*(H51/I51)-6.3)*4096</f>
        <v>-1484337.22011746</v>
      </c>
      <c r="K51" s="38" t="n">
        <f aca="false">IF(J51&lt;0,65535+J51,J51)</f>
        <v>-1418802.22011746</v>
      </c>
      <c r="L51" s="38" t="n">
        <f aca="false">IF(K51 &lt; $M$26,$M$26,K51)</f>
        <v>3929.41568</v>
      </c>
      <c r="M51" s="38" t="n">
        <f aca="false">IF(H51&lt;$L$26,(M50),((M50*3)+L51)/4)</f>
        <v>3929.41568</v>
      </c>
      <c r="N51" s="39" t="n">
        <f aca="false">IF((H51/$J$26)/(M51/4096)*100 &gt; 100, 100, (H51/$J$26)/(M51/4096)*100)</f>
        <v>26.9619546914505</v>
      </c>
      <c r="O51" s="40" t="n">
        <f aca="false">(IF(((N51/100)*(460)+50)&lt;510,((N51/100)*(460)+50),510))/100</f>
        <v>1.74024991580672</v>
      </c>
    </row>
    <row r="52" customFormat="false" ht="13.8" hidden="false" customHeight="false" outlineLevel="0" collapsed="false">
      <c r="H52" s="37" t="n">
        <f aca="false">($K$18-(1.4*($J$18-$H$11))-$I$11)</f>
        <v>4291.2</v>
      </c>
      <c r="I52" s="38" t="n">
        <f aca="false">($L$18-(1.05*($J$18-$H$11))-$J$11)</f>
        <v>-93.5999999999985</v>
      </c>
      <c r="J52" s="38" t="n">
        <f aca="false">($K$26*(H52/I52)-6.3)*4096</f>
        <v>-1484337.22011746</v>
      </c>
      <c r="K52" s="38" t="n">
        <f aca="false">IF(J52&lt;0,65535+J52,J52)</f>
        <v>-1418802.22011746</v>
      </c>
      <c r="L52" s="38" t="n">
        <f aca="false">IF(K52 &lt; $M$26,$M$26,K52)</f>
        <v>3929.41568</v>
      </c>
      <c r="M52" s="38" t="n">
        <f aca="false">IF(H52&lt;$L$26,(M51),((M51*3)+L52)/4)</f>
        <v>3929.41568</v>
      </c>
      <c r="N52" s="39" t="n">
        <f aca="false">IF((H52/$J$26)/(M52/4096)*100 &gt; 100, 100, (H52/$J$26)/(M52/4096)*100)</f>
        <v>26.9619546914505</v>
      </c>
      <c r="O52" s="40" t="n">
        <f aca="false">(IF(((N52/100)*(460)+50)&lt;510,((N52/100)*(460)+50),510))/100</f>
        <v>1.74024991580672</v>
      </c>
    </row>
    <row r="53" customFormat="false" ht="13.8" hidden="false" customHeight="false" outlineLevel="0" collapsed="false">
      <c r="H53" s="41" t="n">
        <v>16408</v>
      </c>
      <c r="I53" s="42" t="n">
        <v>17489</v>
      </c>
      <c r="J53" s="42" t="n">
        <f aca="false">($K$26*(H53/I53)-6.3)*4096</f>
        <v>4042.41742072291</v>
      </c>
      <c r="K53" s="42" t="n">
        <f aca="false">IF(J53&lt;0,65535+J53,J53)</f>
        <v>4042.41742072291</v>
      </c>
      <c r="L53" s="42" t="n">
        <f aca="false">IF(K53 &lt; $M$26,$M$26,K53)</f>
        <v>4042.41742072291</v>
      </c>
      <c r="M53" s="42" t="n">
        <f aca="false">IF(H53&lt;$L$26,(M52),((M52*3)+L53)/4)</f>
        <v>3957.66611518073</v>
      </c>
      <c r="N53" s="43" t="n">
        <f aca="false">IF((H53/$J$26)/(M53/4096)*100 &gt; 100, 100, (H53/$J$26)/(M53/4096)*100)</f>
        <v>100</v>
      </c>
      <c r="O53" s="44" t="n">
        <f aca="false">(IF(((N53/100)*(460)+50)&lt;510,((N53/100)*(460)+50),510))/100</f>
        <v>5.1</v>
      </c>
    </row>
    <row r="54" customFormat="false" ht="13.8" hidden="false" customHeight="false" outlineLevel="0" collapsed="false">
      <c r="H54" s="45" t="n">
        <v>11640816</v>
      </c>
      <c r="I54" s="45"/>
      <c r="J54" s="45"/>
      <c r="K54" s="45"/>
      <c r="L54" s="45"/>
      <c r="M54" s="45"/>
      <c r="N54" s="45"/>
      <c r="O54" s="45"/>
    </row>
    <row r="55" customFormat="false" ht="15" hidden="false" customHeight="true" outlineLevel="0" collapsed="false">
      <c r="I55" s="46" t="s">
        <v>36</v>
      </c>
      <c r="J55" s="46"/>
      <c r="K55" s="46"/>
      <c r="L55" s="46"/>
      <c r="M55" s="46"/>
      <c r="N55" s="46"/>
    </row>
    <row r="56" customFormat="false" ht="15" hidden="false" customHeight="true" outlineLevel="0" collapsed="false">
      <c r="I56" s="46"/>
      <c r="J56" s="46"/>
      <c r="K56" s="46"/>
      <c r="L56" s="46"/>
      <c r="M56" s="46"/>
      <c r="N56" s="46"/>
    </row>
    <row r="57" customFormat="false" ht="15" hidden="false" customHeight="true" outlineLevel="0" collapsed="false">
      <c r="I57" s="46"/>
      <c r="J57" s="46"/>
      <c r="K57" s="46"/>
      <c r="L57" s="46"/>
      <c r="M57" s="46"/>
      <c r="N57" s="46"/>
    </row>
    <row r="58" customFormat="false" ht="15" hidden="false" customHeight="true" outlineLevel="0" collapsed="false">
      <c r="I58" s="47"/>
      <c r="J58" s="47"/>
      <c r="K58" s="47"/>
      <c r="L58" s="47"/>
      <c r="M58" s="47"/>
      <c r="N58" s="47"/>
    </row>
    <row r="59" customFormat="false" ht="15" hidden="false" customHeight="true" outlineLevel="0" collapsed="false">
      <c r="H59" s="48" t="s">
        <v>37</v>
      </c>
      <c r="I59" s="48"/>
      <c r="J59" s="48"/>
      <c r="K59" s="48"/>
      <c r="L59" s="48"/>
      <c r="M59" s="48"/>
      <c r="N59" s="48"/>
      <c r="O59" s="48"/>
    </row>
    <row r="60" customFormat="false" ht="13.8" hidden="false" customHeight="false" outlineLevel="0" collapsed="false">
      <c r="H60" s="48"/>
      <c r="I60" s="48"/>
      <c r="J60" s="48"/>
      <c r="K60" s="48"/>
      <c r="L60" s="48"/>
      <c r="M60" s="48"/>
      <c r="N60" s="48"/>
      <c r="O60" s="48"/>
    </row>
    <row r="61" customFormat="false" ht="13.8" hidden="false" customHeight="false" outlineLevel="0" collapsed="false">
      <c r="H61" s="48"/>
      <c r="I61" s="48"/>
      <c r="J61" s="48"/>
      <c r="K61" s="48"/>
      <c r="L61" s="48"/>
      <c r="M61" s="48"/>
      <c r="N61" s="48"/>
      <c r="O61" s="48"/>
    </row>
    <row r="62" customFormat="false" ht="15" hidden="false" customHeight="true" outlineLevel="0" collapsed="false">
      <c r="I62" s="47"/>
      <c r="J62" s="47"/>
      <c r="K62" s="47"/>
      <c r="L62" s="47"/>
      <c r="M62" s="47"/>
      <c r="N62" s="47"/>
    </row>
    <row r="63" customFormat="false" ht="15" hidden="false" customHeight="true" outlineLevel="0" collapsed="false">
      <c r="H63" s="19" t="s">
        <v>19</v>
      </c>
      <c r="I63" s="19"/>
      <c r="J63" s="19"/>
      <c r="K63" s="19"/>
      <c r="L63" s="19"/>
      <c r="M63" s="19"/>
      <c r="N63" s="19"/>
      <c r="O63" s="19"/>
    </row>
    <row r="64" customFormat="false" ht="15" hidden="false" customHeight="true" outlineLevel="0" collapsed="false">
      <c r="H64" s="49"/>
      <c r="I64" s="49"/>
      <c r="J64" s="49"/>
      <c r="K64" s="49"/>
      <c r="L64" s="49"/>
      <c r="M64" s="49"/>
      <c r="N64" s="49"/>
      <c r="O64" s="49"/>
    </row>
    <row r="65" customFormat="false" ht="13.8" hidden="false" customHeight="false" outlineLevel="0" collapsed="false">
      <c r="H65" s="50"/>
      <c r="I65" s="50"/>
      <c r="J65" s="50"/>
      <c r="K65" s="51" t="s">
        <v>38</v>
      </c>
      <c r="L65" s="50"/>
      <c r="M65" s="50"/>
    </row>
    <row r="66" customFormat="false" ht="36.5" hidden="false" customHeight="false" outlineLevel="0" collapsed="false">
      <c r="H66" s="49"/>
      <c r="I66" s="49"/>
      <c r="J66" s="52" t="s">
        <v>39</v>
      </c>
      <c r="K66" s="53" t="s">
        <v>40</v>
      </c>
      <c r="L66" s="54" t="s">
        <v>41</v>
      </c>
      <c r="M66" s="49"/>
      <c r="N66" s="49"/>
      <c r="O66" s="49"/>
    </row>
    <row r="67" customFormat="false" ht="15" hidden="false" customHeight="true" outlineLevel="0" collapsed="false">
      <c r="H67" s="12" t="s">
        <v>42</v>
      </c>
      <c r="I67" s="12"/>
      <c r="J67" s="12"/>
      <c r="K67" s="12"/>
      <c r="L67" s="12"/>
      <c r="M67" s="12"/>
      <c r="N67" s="12"/>
      <c r="O67" s="12"/>
    </row>
    <row r="68" customFormat="false" ht="15" hidden="false" customHeight="true" outlineLevel="0" collapsed="false">
      <c r="H68" s="20" t="s">
        <v>21</v>
      </c>
      <c r="I68" s="20" t="s">
        <v>22</v>
      </c>
      <c r="J68" s="20" t="s">
        <v>43</v>
      </c>
      <c r="K68" s="20" t="s">
        <v>24</v>
      </c>
      <c r="L68" s="20" t="s">
        <v>44</v>
      </c>
      <c r="M68" s="21" t="s">
        <v>26</v>
      </c>
      <c r="N68" s="55"/>
      <c r="O68" s="23"/>
    </row>
    <row r="69" customFormat="false" ht="15" hidden="false" customHeight="true" outlineLevel="0" collapsed="false">
      <c r="H69" s="24" t="n">
        <f aca="false">$K$11-$I$11</f>
        <v>2743</v>
      </c>
      <c r="I69" s="24" t="n">
        <f aca="false">$L$11-$J$11</f>
        <v>0</v>
      </c>
      <c r="J69" s="25" t="n">
        <f aca="false">I26/$M$11</f>
        <v>17683.5187057634</v>
      </c>
      <c r="K69" s="26" t="n">
        <f aca="false">14.4-(7.07*(I69/H69))</f>
        <v>14.4</v>
      </c>
      <c r="L69" s="24" t="n">
        <f aca="false">0.2*I69</f>
        <v>0</v>
      </c>
      <c r="M69" s="27" t="n">
        <f aca="false">0.97*$M$11*4096</f>
        <v>3929.41568</v>
      </c>
      <c r="N69" s="28"/>
      <c r="O69" s="24"/>
    </row>
    <row r="70" customFormat="false" ht="15" hidden="false" customHeight="true" outlineLevel="0" collapsed="false">
      <c r="H70" s="29"/>
      <c r="I70" s="29"/>
      <c r="J70" s="39"/>
      <c r="K70" s="56"/>
      <c r="L70" s="29"/>
      <c r="M70" s="56"/>
      <c r="N70" s="56"/>
      <c r="O70" s="29"/>
    </row>
    <row r="71" customFormat="false" ht="15" hidden="false" customHeight="true" outlineLevel="0" collapsed="false">
      <c r="I71" s="47"/>
      <c r="J71" s="47"/>
      <c r="K71" s="47"/>
      <c r="L71" s="47"/>
      <c r="M71" s="47"/>
      <c r="N71" s="47"/>
    </row>
    <row r="72" customFormat="false" ht="13.8" hidden="false" customHeight="false" outlineLevel="0" collapsed="false">
      <c r="H72" s="50" t="s">
        <v>45</v>
      </c>
      <c r="I72" s="50"/>
      <c r="J72" s="50"/>
      <c r="K72" s="50"/>
      <c r="L72" s="50"/>
      <c r="M72" s="50"/>
    </row>
    <row r="73" customFormat="false" ht="48" hidden="false" customHeight="true" outlineLevel="0" collapsed="false">
      <c r="H73" s="53" t="s">
        <v>46</v>
      </c>
      <c r="I73" s="53" t="s">
        <v>47</v>
      </c>
      <c r="J73" s="53" t="s">
        <v>48</v>
      </c>
      <c r="K73" s="57"/>
      <c r="L73" s="58"/>
      <c r="M73" s="53" t="s">
        <v>49</v>
      </c>
      <c r="N73" s="53" t="s">
        <v>49</v>
      </c>
      <c r="O73" s="58"/>
    </row>
    <row r="74" customFormat="false" ht="13.8" hidden="false" customHeight="false" outlineLevel="0" collapsed="false">
      <c r="H74" s="53"/>
      <c r="I74" s="59" t="s">
        <v>50</v>
      </c>
      <c r="J74" s="59"/>
      <c r="K74" s="59"/>
      <c r="L74" s="59"/>
      <c r="M74" s="59"/>
      <c r="N74" s="59"/>
      <c r="O74" s="58"/>
    </row>
    <row r="75" customFormat="false" ht="13.8" hidden="false" customHeight="false" outlineLevel="0" collapsed="false">
      <c r="H75" s="53"/>
      <c r="I75" s="59"/>
      <c r="J75" s="59"/>
      <c r="K75" s="59"/>
      <c r="L75" s="59"/>
      <c r="M75" s="59"/>
      <c r="N75" s="59"/>
      <c r="O75" s="58"/>
    </row>
    <row r="76" customFormat="false" ht="25" hidden="false" customHeight="false" outlineLevel="0" collapsed="false">
      <c r="H76" s="31" t="s">
        <v>28</v>
      </c>
      <c r="I76" s="31" t="s">
        <v>29</v>
      </c>
      <c r="J76" s="32" t="s">
        <v>30</v>
      </c>
      <c r="K76" s="32" t="s">
        <v>31</v>
      </c>
      <c r="L76" s="32" t="s">
        <v>32</v>
      </c>
      <c r="M76" s="31" t="s">
        <v>33</v>
      </c>
      <c r="N76" s="31" t="s">
        <v>51</v>
      </c>
      <c r="O76" s="31" t="s">
        <v>35</v>
      </c>
    </row>
    <row r="77" customFormat="false" ht="13.8" hidden="false" customHeight="false" outlineLevel="0" collapsed="false">
      <c r="B77" s="60"/>
      <c r="C77" s="60"/>
      <c r="D77" s="60"/>
      <c r="E77" s="60"/>
      <c r="F77" s="60"/>
      <c r="H77" s="33"/>
      <c r="I77" s="34"/>
      <c r="J77" s="34"/>
      <c r="K77" s="34"/>
      <c r="L77" s="34"/>
      <c r="M77" s="34" t="n">
        <f aca="false">M69</f>
        <v>3929.41568</v>
      </c>
      <c r="N77" s="35"/>
      <c r="O77" s="36"/>
    </row>
    <row r="78" customFormat="false" ht="13.8" hidden="false" customHeight="false" outlineLevel="0" collapsed="false">
      <c r="B78" s="60"/>
      <c r="C78" s="60"/>
      <c r="D78" s="60"/>
      <c r="E78" s="60"/>
      <c r="F78" s="60"/>
      <c r="H78" s="37" t="n">
        <f aca="false">($K$18-(1.05*($J$18-$H$11))-$I$11)</f>
        <v>4407.4</v>
      </c>
      <c r="I78" s="38" t="n">
        <f aca="false">($L$18-(1.4*($J$18-$H$11))-$J$11)</f>
        <v>-209.799999999999</v>
      </c>
      <c r="J78" s="38" t="n">
        <f aca="false">($K$69*(I78/H78)-6.3)*4096</f>
        <v>-28612.4660888506</v>
      </c>
      <c r="K78" s="38" t="n">
        <f aca="false">IF(J78&lt;0,65535+J78,J78)</f>
        <v>36922.5339111494</v>
      </c>
      <c r="L78" s="38" t="n">
        <f aca="false">IF(K78 &lt; $M$69,$M$69,K78)</f>
        <v>36922.5339111494</v>
      </c>
      <c r="M78" s="38" t="n">
        <f aca="false">IF(I78&lt;$L$69,(M77),((M77*3)+L78)/4)</f>
        <v>3929.41568</v>
      </c>
      <c r="N78" s="39" t="n">
        <f aca="false">IF((I78/$J$69)/(M78/4096)*100 &gt; 100, 100, (I78/$J$69)/(M78/4096)*100)</f>
        <v>-1.23671256100299</v>
      </c>
      <c r="O78" s="40" t="n">
        <f aca="false">(IF(((N78/100)*(460)+50)&lt;510,((N78/100)*(460)+50),510))/100</f>
        <v>0.443111222193862</v>
      </c>
    </row>
    <row r="79" customFormat="false" ht="13.8" hidden="false" customHeight="false" outlineLevel="0" collapsed="false">
      <c r="B79" s="60"/>
      <c r="C79" s="60"/>
      <c r="D79" s="60"/>
      <c r="E79" s="60"/>
      <c r="F79" s="60"/>
      <c r="H79" s="37" t="n">
        <f aca="false">($K$18-(1.05*($J$18-$H$11))-$I$11)</f>
        <v>4407.4</v>
      </c>
      <c r="I79" s="38" t="n">
        <f aca="false">($L$18-(1.4*($J$18-$H$11))-$J$11)</f>
        <v>-209.799999999999</v>
      </c>
      <c r="J79" s="38" t="n">
        <f aca="false">($K$69*(I79/H79)-6.3)*4096</f>
        <v>-28612.4660888506</v>
      </c>
      <c r="K79" s="38" t="n">
        <f aca="false">IF(J79&lt;0,65535+J79,J79)</f>
        <v>36922.5339111494</v>
      </c>
      <c r="L79" s="38" t="n">
        <f aca="false">IF(K79 &lt; $M$69,$M$69,K79)</f>
        <v>36922.5339111494</v>
      </c>
      <c r="M79" s="38" t="n">
        <f aca="false">IF(I79&lt;$L$69,(M78),((M78*3)+L79)/4)</f>
        <v>3929.41568</v>
      </c>
      <c r="N79" s="39" t="n">
        <f aca="false">IF((I79/$J$69)/(M79/4096)*100 &gt; 100, 100, (I79/$J$69)/(M79/4096)*100)</f>
        <v>-1.23671256100299</v>
      </c>
      <c r="O79" s="40" t="n">
        <f aca="false">(IF(((N79/100)*(460)+50)&lt;510,((N79/100)*(460)+50),510))/100</f>
        <v>0.443111222193862</v>
      </c>
    </row>
    <row r="80" customFormat="false" ht="13.8" hidden="false" customHeight="false" outlineLevel="0" collapsed="false">
      <c r="B80" s="60"/>
      <c r="C80" s="60"/>
      <c r="D80" s="60"/>
      <c r="E80" s="60"/>
      <c r="F80" s="60"/>
      <c r="H80" s="37" t="n">
        <f aca="false">($K$18-(1.05*($J$18-$H$11))-$I$11)</f>
        <v>4407.4</v>
      </c>
      <c r="I80" s="38" t="n">
        <f aca="false">($L$18-(1.4*($J$18-$H$11))-$J$11)</f>
        <v>-209.799999999999</v>
      </c>
      <c r="J80" s="38" t="n">
        <f aca="false">($K$69*(I80/H80)-6.3)*4096</f>
        <v>-28612.4660888506</v>
      </c>
      <c r="K80" s="38" t="n">
        <f aca="false">IF(J80&lt;0,65535+J80,J80)</f>
        <v>36922.5339111494</v>
      </c>
      <c r="L80" s="38" t="n">
        <f aca="false">IF(K80 &lt; $M$69,$M$69,K80)</f>
        <v>36922.5339111494</v>
      </c>
      <c r="M80" s="38" t="n">
        <f aca="false">IF(I80&lt;$L$69,(M79),((M79*3)+L80)/4)</f>
        <v>3929.41568</v>
      </c>
      <c r="N80" s="39" t="n">
        <f aca="false">IF((I80/$J$69)/(M80/4096)*100 &gt; 100, 100, (I80/$J$69)/(M80/4096)*100)</f>
        <v>-1.23671256100299</v>
      </c>
      <c r="O80" s="40" t="n">
        <f aca="false">(IF(((N80/100)*(460)+50)&lt;510,((N80/100)*(460)+50),510))/100</f>
        <v>0.443111222193862</v>
      </c>
    </row>
    <row r="81" customFormat="false" ht="13.8" hidden="false" customHeight="false" outlineLevel="0" collapsed="false">
      <c r="B81" s="60"/>
      <c r="C81" s="60"/>
      <c r="D81" s="60"/>
      <c r="E81" s="60"/>
      <c r="F81" s="60"/>
      <c r="H81" s="37" t="n">
        <f aca="false">($K$18-(1.05*($J$18-$H$11))-$I$11)</f>
        <v>4407.4</v>
      </c>
      <c r="I81" s="38" t="n">
        <f aca="false">($L$18-(1.4*($J$18-$H$11))-$J$11)</f>
        <v>-209.799999999999</v>
      </c>
      <c r="J81" s="38" t="n">
        <f aca="false">($K$69*(I81/H81)-6.3)*4096</f>
        <v>-28612.4660888506</v>
      </c>
      <c r="K81" s="38" t="n">
        <f aca="false">IF(J81&lt;0,65535+J81,J81)</f>
        <v>36922.5339111494</v>
      </c>
      <c r="L81" s="38" t="n">
        <f aca="false">IF(K81 &lt; $M$69,$M$69,K81)</f>
        <v>36922.5339111494</v>
      </c>
      <c r="M81" s="38" t="n">
        <f aca="false">IF(I81&lt;$L$69,(M80),((M80*3)+L81)/4)</f>
        <v>3929.41568</v>
      </c>
      <c r="N81" s="39" t="n">
        <f aca="false">IF((I81/$J$69)/(M81/4096)*100 &gt; 100, 100, (I81/$J$69)/(M81/4096)*100)</f>
        <v>-1.23671256100299</v>
      </c>
      <c r="O81" s="40" t="n">
        <f aca="false">(IF(((N81/100)*(460)+50)&lt;510,((N81/100)*(460)+50),510))/100</f>
        <v>0.443111222193862</v>
      </c>
    </row>
    <row r="82" customFormat="false" ht="13.8" hidden="false" customHeight="false" outlineLevel="0" collapsed="false">
      <c r="B82" s="60"/>
      <c r="C82" s="60"/>
      <c r="D82" s="60"/>
      <c r="E82" s="60"/>
      <c r="F82" s="60"/>
      <c r="H82" s="37" t="n">
        <f aca="false">($K$18-(1.05*($J$18-$H$11))-$I$11)</f>
        <v>4407.4</v>
      </c>
      <c r="I82" s="38" t="n">
        <f aca="false">($L$18-(1.4*($J$18-$H$11))-$J$11)</f>
        <v>-209.799999999999</v>
      </c>
      <c r="J82" s="38" t="n">
        <f aca="false">($K$69*(I82/H82)-6.3)*4096</f>
        <v>-28612.4660888506</v>
      </c>
      <c r="K82" s="38" t="n">
        <f aca="false">IF(J82&lt;0,65535+J82,J82)</f>
        <v>36922.5339111494</v>
      </c>
      <c r="L82" s="38" t="n">
        <f aca="false">IF(K82 &lt; $M$69,$M$69,K82)</f>
        <v>36922.5339111494</v>
      </c>
      <c r="M82" s="38" t="n">
        <f aca="false">IF(I82&lt;$L$69,(M81),((M81*3)+L82)/4)</f>
        <v>3929.41568</v>
      </c>
      <c r="N82" s="39" t="n">
        <f aca="false">IF((I82/$J$69)/(M82/4096)*100 &gt; 100, 100, (I82/$J$69)/(M82/4096)*100)</f>
        <v>-1.23671256100299</v>
      </c>
      <c r="O82" s="40" t="n">
        <f aca="false">(IF(((N82/100)*(460)+50)&lt;510,((N82/100)*(460)+50),510))/100</f>
        <v>0.443111222193862</v>
      </c>
    </row>
    <row r="83" customFormat="false" ht="13.8" hidden="false" customHeight="false" outlineLevel="0" collapsed="false">
      <c r="B83" s="60"/>
      <c r="C83" s="60"/>
      <c r="D83" s="60"/>
      <c r="E83" s="60"/>
      <c r="F83" s="60"/>
      <c r="H83" s="37" t="n">
        <f aca="false">($K$18-(1.05*($J$18-$H$11))-$I$11)</f>
        <v>4407.4</v>
      </c>
      <c r="I83" s="38" t="n">
        <f aca="false">($L$18-(1.4*($J$18-$H$11))-$J$11)</f>
        <v>-209.799999999999</v>
      </c>
      <c r="J83" s="38" t="n">
        <f aca="false">($K$69*(I83/H83)-6.3)*4096</f>
        <v>-28612.4660888506</v>
      </c>
      <c r="K83" s="38" t="n">
        <f aca="false">IF(J83&lt;0,65535+J83,J83)</f>
        <v>36922.5339111494</v>
      </c>
      <c r="L83" s="38" t="n">
        <f aca="false">IF(K83 &lt; $M$69,$M$69,K83)</f>
        <v>36922.5339111494</v>
      </c>
      <c r="M83" s="38" t="n">
        <f aca="false">IF(I83&lt;$L$69,(M82),((M82*3)+L83)/4)</f>
        <v>3929.41568</v>
      </c>
      <c r="N83" s="39" t="n">
        <f aca="false">IF((I83/$J$69)/(M83/4096)*100 &gt; 100, 100, (I83/$J$69)/(M83/4096)*100)</f>
        <v>-1.23671256100299</v>
      </c>
      <c r="O83" s="40" t="n">
        <f aca="false">(IF(((N83/100)*(460)+50)&lt;510,((N83/100)*(460)+50),510))/100</f>
        <v>0.443111222193862</v>
      </c>
    </row>
    <row r="84" customFormat="false" ht="13.8" hidden="false" customHeight="false" outlineLevel="0" collapsed="false">
      <c r="H84" s="37" t="n">
        <f aca="false">($K$18-(1.05*($J$18-$H$11))-$I$11)</f>
        <v>4407.4</v>
      </c>
      <c r="I84" s="38" t="n">
        <f aca="false">($L$18-(1.4*($J$18-$H$11))-$J$11)</f>
        <v>-209.799999999999</v>
      </c>
      <c r="J84" s="38" t="n">
        <f aca="false">($K$69*(I84/H84)-6.3)*4096</f>
        <v>-28612.4660888506</v>
      </c>
      <c r="K84" s="38" t="n">
        <f aca="false">IF(J84&lt;0,65535+J84,J84)</f>
        <v>36922.5339111494</v>
      </c>
      <c r="L84" s="38" t="n">
        <f aca="false">IF(K84 &lt; $M$69,$M$69,K84)</f>
        <v>36922.5339111494</v>
      </c>
      <c r="M84" s="38" t="n">
        <f aca="false">IF(I84&lt;$L$69,(M83),((M83*3)+L84)/4)</f>
        <v>3929.41568</v>
      </c>
      <c r="N84" s="39" t="n">
        <f aca="false">IF((I84/$J$69)/(M84/4096)*100 &gt; 100, 100, (I84/$J$69)/(M84/4096)*100)</f>
        <v>-1.23671256100299</v>
      </c>
      <c r="O84" s="40" t="n">
        <f aca="false">(IF(((N84/100)*(460)+50)&lt;510,((N84/100)*(460)+50),510))/100</f>
        <v>0.443111222193862</v>
      </c>
    </row>
    <row r="85" customFormat="false" ht="13.8" hidden="false" customHeight="false" outlineLevel="0" collapsed="false">
      <c r="H85" s="37" t="n">
        <f aca="false">($K$18-(1.05*($J$18-$H$11))-$I$11)</f>
        <v>4407.4</v>
      </c>
      <c r="I85" s="38" t="n">
        <f aca="false">($L$18-(1.4*($J$18-$H$11))-$J$11)</f>
        <v>-209.799999999999</v>
      </c>
      <c r="J85" s="38" t="n">
        <f aca="false">($K$69*(I85/H85)-6.3)*4096</f>
        <v>-28612.4660888506</v>
      </c>
      <c r="K85" s="38" t="n">
        <f aca="false">IF(J85&lt;0,65535+J85,J85)</f>
        <v>36922.5339111494</v>
      </c>
      <c r="L85" s="38" t="n">
        <f aca="false">IF(K85 &lt; $M$69,$M$69,K85)</f>
        <v>36922.5339111494</v>
      </c>
      <c r="M85" s="38" t="n">
        <f aca="false">IF(I85&lt;$L$69,(M84),((M84*3)+L85)/4)</f>
        <v>3929.41568</v>
      </c>
      <c r="N85" s="39" t="n">
        <f aca="false">IF((I85/$J$69)/(M85/4096)*100 &gt; 100, 100, (I85/$J$69)/(M85/4096)*100)</f>
        <v>-1.23671256100299</v>
      </c>
      <c r="O85" s="40" t="n">
        <f aca="false">(IF(((N85/100)*(460)+50)&lt;510,((N85/100)*(460)+50),510))/100</f>
        <v>0.443111222193862</v>
      </c>
    </row>
    <row r="86" customFormat="false" ht="13.8" hidden="false" customHeight="false" outlineLevel="0" collapsed="false">
      <c r="H86" s="37" t="n">
        <f aca="false">($K$18-(1.05*($J$18-$H$11))-$I$11)</f>
        <v>4407.4</v>
      </c>
      <c r="I86" s="38" t="n">
        <f aca="false">($L$18-(1.4*($J$18-$H$11))-$J$11)</f>
        <v>-209.799999999999</v>
      </c>
      <c r="J86" s="38" t="n">
        <f aca="false">($K$69*(I86/H86)-6.3)*4096</f>
        <v>-28612.4660888506</v>
      </c>
      <c r="K86" s="38" t="n">
        <f aca="false">IF(J86&lt;0,65535+J86,J86)</f>
        <v>36922.5339111494</v>
      </c>
      <c r="L86" s="38" t="n">
        <f aca="false">IF(K86 &lt; $M$69,$M$69,K86)</f>
        <v>36922.5339111494</v>
      </c>
      <c r="M86" s="38" t="n">
        <f aca="false">IF(I86&lt;$L$69,(M85),((M85*3)+L86)/4)</f>
        <v>3929.41568</v>
      </c>
      <c r="N86" s="39" t="n">
        <f aca="false">IF((I86/$J$69)/(M86/4096)*100 &gt; 100, 100, (I86/$J$69)/(M86/4096)*100)</f>
        <v>-1.23671256100299</v>
      </c>
      <c r="O86" s="40" t="n">
        <f aca="false">(IF(((N86/100)*(460)+50)&lt;510,((N86/100)*(460)+50),510))/100</f>
        <v>0.443111222193862</v>
      </c>
    </row>
    <row r="87" customFormat="false" ht="13.8" hidden="false" customHeight="false" outlineLevel="0" collapsed="false">
      <c r="H87" s="37" t="n">
        <f aca="false">($K$18-(1.05*($J$18-$H$11))-$I$11)</f>
        <v>4407.4</v>
      </c>
      <c r="I87" s="38" t="n">
        <f aca="false">($L$18-(1.4*($J$18-$H$11))-$J$11)</f>
        <v>-209.799999999999</v>
      </c>
      <c r="J87" s="38" t="n">
        <f aca="false">($K$69*(I87/H87)-6.3)*4096</f>
        <v>-28612.4660888506</v>
      </c>
      <c r="K87" s="38" t="n">
        <f aca="false">IF(J87&lt;0,65535+J87,J87)</f>
        <v>36922.5339111494</v>
      </c>
      <c r="L87" s="38" t="n">
        <f aca="false">IF(K87 &lt; $M$69,$M$69,K87)</f>
        <v>36922.5339111494</v>
      </c>
      <c r="M87" s="38" t="n">
        <f aca="false">IF(I87&lt;$L$69,(M86),((M86*3)+L87)/4)</f>
        <v>3929.41568</v>
      </c>
      <c r="N87" s="39" t="n">
        <f aca="false">IF((I87/$J$69)/(M87/4096)*100 &gt; 100, 100, (I87/$J$69)/(M87/4096)*100)</f>
        <v>-1.23671256100299</v>
      </c>
      <c r="O87" s="40" t="n">
        <f aca="false">(IF(((N87/100)*(460)+50)&lt;510,((N87/100)*(460)+50),510))/100</f>
        <v>0.443111222193862</v>
      </c>
    </row>
    <row r="88" customFormat="false" ht="13.8" hidden="false" customHeight="false" outlineLevel="0" collapsed="false">
      <c r="H88" s="37" t="n">
        <f aca="false">($K$18-(1.05*($J$18-$H$11))-$I$11)</f>
        <v>4407.4</v>
      </c>
      <c r="I88" s="38" t="n">
        <f aca="false">($L$18-(1.4*($J$18-$H$11))-$J$11)</f>
        <v>-209.799999999999</v>
      </c>
      <c r="J88" s="38" t="n">
        <f aca="false">($K$69*(I88/H88)-6.3)*4096</f>
        <v>-28612.4660888506</v>
      </c>
      <c r="K88" s="38" t="n">
        <f aca="false">IF(J88&lt;0,65535+J88,J88)</f>
        <v>36922.5339111494</v>
      </c>
      <c r="L88" s="38" t="n">
        <f aca="false">IF(K88 &lt; $M$69,$M$69,K88)</f>
        <v>36922.5339111494</v>
      </c>
      <c r="M88" s="38" t="n">
        <f aca="false">IF(I88&lt;$L$69,(M87),((M87*3)+L88)/4)</f>
        <v>3929.41568</v>
      </c>
      <c r="N88" s="39" t="n">
        <f aca="false">IF((I88/$J$69)/(M88/4096)*100 &gt; 100, 100, (I88/$J$69)/(M88/4096)*100)</f>
        <v>-1.23671256100299</v>
      </c>
      <c r="O88" s="40" t="n">
        <f aca="false">(IF(((N88/100)*(460)+50)&lt;510,((N88/100)*(460)+50),510))/100</f>
        <v>0.443111222193862</v>
      </c>
    </row>
    <row r="89" customFormat="false" ht="13.8" hidden="false" customHeight="false" outlineLevel="0" collapsed="false">
      <c r="H89" s="41" t="n">
        <f aca="false">($K$18-(1.05*($J$18-$H$11))-$I$11)</f>
        <v>4407.4</v>
      </c>
      <c r="I89" s="42" t="n">
        <f aca="false">($L$18-(1.4*($J$18-$H$11))-$J$11)</f>
        <v>-209.799999999999</v>
      </c>
      <c r="J89" s="42" t="n">
        <f aca="false">($K$69*(I89/H89)-6.3)*4096</f>
        <v>-28612.4660888506</v>
      </c>
      <c r="K89" s="42" t="n">
        <f aca="false">IF(J89&lt;0,65535+J89,J89)</f>
        <v>36922.5339111494</v>
      </c>
      <c r="L89" s="42" t="n">
        <f aca="false">IF(K89 &lt; $M$69,$M$69,K89)</f>
        <v>36922.5339111494</v>
      </c>
      <c r="M89" s="42" t="n">
        <f aca="false">IF(I89&lt;$L$69,(M88),((M88*3)+L89)/4)</f>
        <v>3929.41568</v>
      </c>
      <c r="N89" s="43" t="n">
        <f aca="false">IF((I89/$J$69)/(M89/4096)*100 &gt; 100, 100, (I89/$J$69)/(M89/4096)*100)</f>
        <v>-1.23671256100299</v>
      </c>
      <c r="O89" s="44" t="n">
        <f aca="false">(IF(((N89/100)*(460)+50)&lt;510,((N89/100)*(460)+50),510))/100</f>
        <v>0.443111222193862</v>
      </c>
    </row>
    <row r="90" customFormat="false" ht="13.8" hidden="false" customHeight="false" outlineLevel="0" collapsed="false">
      <c r="H90" s="38"/>
      <c r="I90" s="38"/>
      <c r="J90" s="38"/>
      <c r="K90" s="38"/>
      <c r="L90" s="38"/>
      <c r="M90" s="38"/>
      <c r="N90" s="39"/>
      <c r="O90" s="39"/>
    </row>
  </sheetData>
  <mergeCells count="16">
    <mergeCell ref="B2:C2"/>
    <mergeCell ref="A3:B3"/>
    <mergeCell ref="C3:N3"/>
    <mergeCell ref="A5:B5"/>
    <mergeCell ref="C5:N6"/>
    <mergeCell ref="H9:O9"/>
    <mergeCell ref="J16:L16"/>
    <mergeCell ref="H19:O21"/>
    <mergeCell ref="H23:O23"/>
    <mergeCell ref="H24:O24"/>
    <mergeCell ref="I28:N29"/>
    <mergeCell ref="I55:N57"/>
    <mergeCell ref="H59:O61"/>
    <mergeCell ref="H63:O63"/>
    <mergeCell ref="H67:O67"/>
    <mergeCell ref="I74:N75"/>
  </mergeCells>
  <hyperlinks>
    <hyperlink ref="M10" r:id="rId1" display="div@cal"/>
    <hyperlink ref="M25" r:id="rId2" display="div@cal *0.97"/>
    <hyperlink ref="M68" r:id="rId3" display="div@cal *0.9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P32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O23" activeCellId="0" sqref="O23"/>
    </sheetView>
  </sheetViews>
  <sheetFormatPr defaultColWidth="8.7421875" defaultRowHeight="13.8" zeroHeight="false" outlineLevelRow="0" outlineLevelCol="0"/>
  <cols>
    <col collapsed="false" customWidth="true" hidden="false" outlineLevel="0" max="3" min="3" style="0" width="18.42"/>
    <col collapsed="false" customWidth="true" hidden="false" outlineLevel="0" max="4" min="4" style="0" width="16.29"/>
    <col collapsed="false" customWidth="true" hidden="false" outlineLevel="0" max="6" min="6" style="0" width="14.01"/>
    <col collapsed="false" customWidth="true" hidden="false" outlineLevel="0" max="8" min="8" style="0" width="18.12"/>
    <col collapsed="false" customWidth="true" hidden="false" outlineLevel="0" max="10" min="10" style="0" width="14.69"/>
  </cols>
  <sheetData>
    <row r="3" s="58" customFormat="true" ht="30" hidden="false" customHeight="true" outlineLevel="0" collapsed="false">
      <c r="C3" s="61"/>
      <c r="D3" s="61" t="s">
        <v>52</v>
      </c>
      <c r="E3" s="61" t="s">
        <v>53</v>
      </c>
      <c r="F3" s="62" t="s">
        <v>54</v>
      </c>
      <c r="G3" s="61"/>
      <c r="H3" s="61" t="s">
        <v>55</v>
      </c>
      <c r="I3" s="61" t="s">
        <v>56</v>
      </c>
      <c r="J3" s="62" t="s">
        <v>57</v>
      </c>
      <c r="L3" s="63" t="s">
        <v>58</v>
      </c>
      <c r="M3" s="63"/>
      <c r="N3" s="63"/>
      <c r="O3" s="58" t="s">
        <v>59</v>
      </c>
    </row>
    <row r="4" customFormat="false" ht="13.8" hidden="false" customHeight="false" outlineLevel="0" collapsed="false">
      <c r="C4" s="64" t="s">
        <v>15</v>
      </c>
      <c r="D4" s="0" t="n">
        <v>9907</v>
      </c>
      <c r="E4" s="0" t="n">
        <v>9905</v>
      </c>
      <c r="F4" s="65" t="n">
        <f aca="false">E4/D4</f>
        <v>0.999798122539618</v>
      </c>
      <c r="H4" s="0" t="n">
        <v>9879</v>
      </c>
      <c r="I4" s="0" t="n">
        <v>9877</v>
      </c>
      <c r="J4" s="65" t="n">
        <f aca="false">I4/H4</f>
        <v>0.999797550359348</v>
      </c>
      <c r="L4" s="0" t="s">
        <v>60</v>
      </c>
      <c r="O4" s="0" t="s">
        <v>61</v>
      </c>
    </row>
    <row r="5" customFormat="false" ht="13.8" hidden="false" customHeight="false" outlineLevel="0" collapsed="false">
      <c r="C5" s="64" t="s">
        <v>16</v>
      </c>
      <c r="D5" s="0" t="n">
        <v>18515</v>
      </c>
      <c r="E5" s="0" t="n">
        <v>35585</v>
      </c>
      <c r="F5" s="65" t="n">
        <f aca="false">E5/D5</f>
        <v>1.92195517148258</v>
      </c>
      <c r="H5" s="0" t="n">
        <v>18480</v>
      </c>
      <c r="I5" s="0" t="n">
        <v>35843</v>
      </c>
      <c r="J5" s="65" t="n">
        <f aca="false">I5/H5</f>
        <v>1.93955627705628</v>
      </c>
      <c r="P5" s="65"/>
    </row>
    <row r="6" customFormat="false" ht="13.8" hidden="false" customHeight="false" outlineLevel="0" collapsed="false">
      <c r="C6" s="64" t="s">
        <v>17</v>
      </c>
      <c r="D6" s="0" t="n">
        <v>19358</v>
      </c>
      <c r="E6" s="0" t="n">
        <v>26600</v>
      </c>
      <c r="F6" s="65" t="n">
        <f aca="false">E6/D6</f>
        <v>1.37410889554706</v>
      </c>
      <c r="H6" s="0" t="n">
        <v>19410</v>
      </c>
      <c r="I6" s="0" t="n">
        <v>26767</v>
      </c>
      <c r="J6" s="65" t="n">
        <f aca="false">I6/H6</f>
        <v>1.37903142709943</v>
      </c>
    </row>
    <row r="7" customFormat="false" ht="15" hidden="false" customHeight="true" outlineLevel="0" collapsed="false">
      <c r="C7" s="64" t="s">
        <v>62</v>
      </c>
      <c r="D7" s="0" t="n">
        <v>2990</v>
      </c>
      <c r="E7" s="0" t="n">
        <v>20062</v>
      </c>
      <c r="F7" s="66" t="n">
        <f aca="false">E7/D7</f>
        <v>6.70969899665552</v>
      </c>
      <c r="H7" s="0" t="n">
        <v>2972</v>
      </c>
      <c r="I7" s="0" t="n">
        <v>20337</v>
      </c>
      <c r="J7" s="66" t="n">
        <f aca="false">I7/H7</f>
        <v>6.842866756393</v>
      </c>
      <c r="L7" s="63" t="s">
        <v>63</v>
      </c>
      <c r="M7" s="63"/>
      <c r="N7" s="63"/>
      <c r="O7" s="0" t="s">
        <v>64</v>
      </c>
    </row>
    <row r="8" customFormat="false" ht="13.8" hidden="false" customHeight="false" outlineLevel="0" collapsed="false">
      <c r="C8" s="64" t="s">
        <v>65</v>
      </c>
      <c r="D8" s="0" t="n">
        <v>2688</v>
      </c>
      <c r="E8" s="0" t="n">
        <v>9942</v>
      </c>
      <c r="F8" s="65" t="n">
        <f aca="false">E8/D8</f>
        <v>3.69866071428571</v>
      </c>
      <c r="H8" s="0" t="n">
        <v>2688</v>
      </c>
      <c r="I8" s="0" t="n">
        <v>10047</v>
      </c>
      <c r="J8" s="65" t="n">
        <f aca="false">I8/H8</f>
        <v>3.73772321428571</v>
      </c>
      <c r="L8" s="0" t="s">
        <v>66</v>
      </c>
      <c r="O8" s="0" t="s">
        <v>67</v>
      </c>
    </row>
    <row r="9" customFormat="false" ht="13.8" hidden="false" customHeight="false" outlineLevel="0" collapsed="false">
      <c r="C9" s="64" t="s">
        <v>68</v>
      </c>
      <c r="D9" s="0" t="n">
        <v>0.971</v>
      </c>
      <c r="E9" s="0" t="n">
        <v>6.892</v>
      </c>
      <c r="F9" s="65" t="n">
        <f aca="false">E9/D9</f>
        <v>7.09783728115345</v>
      </c>
      <c r="H9" s="0" t="n">
        <v>0.984</v>
      </c>
      <c r="I9" s="0" t="n">
        <v>7.036</v>
      </c>
      <c r="J9" s="65" t="n">
        <f aca="false">I9/H9</f>
        <v>7.15040650406504</v>
      </c>
      <c r="P9" s="65"/>
    </row>
    <row r="10" customFormat="false" ht="13.8" hidden="false" customHeight="false" outlineLevel="0" collapsed="false">
      <c r="C10" s="64" t="s">
        <v>69</v>
      </c>
      <c r="D10" s="0" t="n">
        <v>0.971</v>
      </c>
      <c r="E10" s="0" t="n">
        <v>6.891</v>
      </c>
      <c r="F10" s="65" t="n">
        <f aca="false">E10/D10</f>
        <v>7.09680741503605</v>
      </c>
      <c r="H10" s="0" t="n">
        <v>0.984</v>
      </c>
      <c r="I10" s="0" t="n">
        <v>7.034</v>
      </c>
      <c r="J10" s="65" t="n">
        <f aca="false">I10/H10</f>
        <v>7.14837398373984</v>
      </c>
    </row>
    <row r="11" customFormat="false" ht="13.8" hidden="false" customHeight="false" outlineLevel="0" collapsed="false">
      <c r="C11" s="64" t="s">
        <v>70</v>
      </c>
      <c r="D11" s="0" t="n">
        <v>509</v>
      </c>
      <c r="E11" s="0" t="n">
        <v>484</v>
      </c>
      <c r="F11" s="65" t="n">
        <f aca="false">E11/D11</f>
        <v>0.950884086444008</v>
      </c>
      <c r="H11" s="0" t="n">
        <v>508</v>
      </c>
      <c r="I11" s="0" t="n">
        <v>489</v>
      </c>
      <c r="J11" s="65" t="n">
        <f aca="false">I11/H11</f>
        <v>0.96259842519685</v>
      </c>
    </row>
    <row r="12" customFormat="false" ht="13.8" hidden="false" customHeight="false" outlineLevel="0" collapsed="false">
      <c r="C12" s="64" t="s">
        <v>71</v>
      </c>
      <c r="D12" s="0" t="n">
        <v>0.971</v>
      </c>
      <c r="E12" s="0" t="n">
        <v>6.891</v>
      </c>
      <c r="F12" s="67" t="n">
        <f aca="false">E12/D12</f>
        <v>7.09680741503605</v>
      </c>
      <c r="H12" s="0" t="n">
        <v>0.984</v>
      </c>
      <c r="I12" s="0" t="n">
        <v>7.034</v>
      </c>
      <c r="J12" s="67" t="n">
        <f aca="false">I12/H12</f>
        <v>7.14837398373984</v>
      </c>
    </row>
    <row r="13" customFormat="false" ht="15" hidden="false" customHeight="false" outlineLevel="0" collapsed="false">
      <c r="C13" s="64" t="s">
        <v>72</v>
      </c>
      <c r="D13" s="68" t="n">
        <f aca="false">(D9+6.3)*(D8/D7)</f>
        <v>6.53660468227425</v>
      </c>
      <c r="F13" s="65"/>
      <c r="H13" s="68" t="n">
        <f aca="false">(H9+6.3)*(H8/H7)</f>
        <v>6.58795154777927</v>
      </c>
      <c r="J13" s="65"/>
      <c r="L13" s="69"/>
    </row>
    <row r="14" customFormat="false" ht="25" hidden="false" customHeight="false" outlineLevel="0" collapsed="false">
      <c r="C14" s="61" t="s">
        <v>73</v>
      </c>
      <c r="D14" s="58"/>
      <c r="E14" s="70" t="n">
        <f aca="false">(D13*(E7/E8)-6.3)</f>
        <v>6.89023970386099</v>
      </c>
      <c r="H14" s="58"/>
      <c r="I14" s="70" t="n">
        <f aca="false">(H13*(I7/I8)-6.3)</f>
        <v>7.03524142800708</v>
      </c>
    </row>
    <row r="15" customFormat="false" ht="31.5" hidden="false" customHeight="true" outlineLevel="0" collapsed="false">
      <c r="C15" s="61"/>
      <c r="D15" s="58"/>
      <c r="E15" s="70"/>
      <c r="H15" s="58"/>
      <c r="I15" s="70"/>
    </row>
    <row r="16" customFormat="false" ht="13.8" hidden="false" customHeight="false" outlineLevel="0" collapsed="false">
      <c r="E16" s="71"/>
      <c r="I16" s="71"/>
    </row>
    <row r="17" s="58" customFormat="true" ht="30" hidden="false" customHeight="true" outlineLevel="0" collapsed="false">
      <c r="C17" s="61"/>
      <c r="D17" s="61" t="s">
        <v>74</v>
      </c>
      <c r="E17" s="61" t="s">
        <v>75</v>
      </c>
      <c r="F17" s="62" t="s">
        <v>76</v>
      </c>
      <c r="G17" s="61"/>
      <c r="H17" s="61" t="s">
        <v>77</v>
      </c>
      <c r="I17" s="61" t="s">
        <v>78</v>
      </c>
      <c r="J17" s="62" t="s">
        <v>79</v>
      </c>
      <c r="L17" s="63" t="s">
        <v>80</v>
      </c>
      <c r="M17" s="63"/>
      <c r="N17" s="63"/>
      <c r="O17" s="58" t="s">
        <v>81</v>
      </c>
    </row>
    <row r="18" customFormat="false" ht="13.8" hidden="false" customHeight="false" outlineLevel="0" collapsed="false">
      <c r="C18" s="64" t="s">
        <v>15</v>
      </c>
      <c r="D18" s="0" t="n">
        <v>9930</v>
      </c>
      <c r="E18" s="0" t="n">
        <v>9930</v>
      </c>
      <c r="F18" s="65" t="n">
        <f aca="false">E18/D18</f>
        <v>1</v>
      </c>
      <c r="H18" s="0" t="n">
        <v>9861</v>
      </c>
      <c r="I18" s="0" t="n">
        <v>9859</v>
      </c>
      <c r="J18" s="65" t="n">
        <f aca="false">I18/H18</f>
        <v>0.999797180813305</v>
      </c>
      <c r="L18" s="0" t="s">
        <v>82</v>
      </c>
      <c r="O18" s="0" t="s">
        <v>83</v>
      </c>
    </row>
    <row r="19" customFormat="false" ht="13.8" hidden="false" customHeight="false" outlineLevel="0" collapsed="false">
      <c r="C19" s="64" t="s">
        <v>16</v>
      </c>
      <c r="D19" s="0" t="n">
        <v>19333</v>
      </c>
      <c r="E19" s="0" t="n">
        <v>26533</v>
      </c>
      <c r="F19" s="65" t="n">
        <f aca="false">E19/D19</f>
        <v>1.37242021414162</v>
      </c>
      <c r="H19" s="0" t="n">
        <v>19289</v>
      </c>
      <c r="I19" s="0" t="n">
        <v>26796</v>
      </c>
      <c r="J19" s="65" t="n">
        <f aca="false">I19/H19</f>
        <v>1.38918554616621</v>
      </c>
      <c r="P19" s="65"/>
    </row>
    <row r="20" customFormat="false" ht="13.8" hidden="false" customHeight="false" outlineLevel="0" collapsed="false">
      <c r="C20" s="64" t="s">
        <v>17</v>
      </c>
      <c r="D20" s="0" t="n">
        <v>18499</v>
      </c>
      <c r="E20" s="0" t="n">
        <v>35275</v>
      </c>
      <c r="F20" s="65" t="n">
        <f aca="false">E20/D20</f>
        <v>1.9068598302611</v>
      </c>
      <c r="H20" s="0" t="n">
        <v>18467</v>
      </c>
      <c r="I20" s="0" t="n">
        <v>35981</v>
      </c>
      <c r="J20" s="65" t="n">
        <f aca="false">I20/H20</f>
        <v>1.94839443331348</v>
      </c>
    </row>
    <row r="21" customFormat="false" ht="15" hidden="false" customHeight="true" outlineLevel="0" collapsed="false">
      <c r="C21" s="64" t="s">
        <v>62</v>
      </c>
      <c r="D21" s="0" t="n">
        <v>2648</v>
      </c>
      <c r="E21" s="0" t="n">
        <v>9848</v>
      </c>
      <c r="F21" s="66" t="n">
        <f aca="false">E21/D21</f>
        <v>3.7190332326284</v>
      </c>
      <c r="H21" s="0" t="n">
        <v>2685</v>
      </c>
      <c r="I21" s="0" t="n">
        <v>10195</v>
      </c>
      <c r="J21" s="66" t="n">
        <f aca="false">I21/H21</f>
        <v>3.79702048417132</v>
      </c>
      <c r="L21" s="63" t="s">
        <v>84</v>
      </c>
      <c r="M21" s="63"/>
      <c r="N21" s="63"/>
      <c r="O21" s="0" t="s">
        <v>85</v>
      </c>
    </row>
    <row r="22" customFormat="false" ht="13.8" hidden="false" customHeight="false" outlineLevel="0" collapsed="false">
      <c r="C22" s="64" t="s">
        <v>65</v>
      </c>
      <c r="D22" s="0" t="n">
        <v>2938</v>
      </c>
      <c r="E22" s="0" t="n">
        <v>19714</v>
      </c>
      <c r="F22" s="65" t="n">
        <f aca="false">E22/D22</f>
        <v>6.71000680735194</v>
      </c>
      <c r="H22" s="0" t="n">
        <v>2974</v>
      </c>
      <c r="I22" s="0" t="n">
        <v>20490</v>
      </c>
      <c r="J22" s="65" t="n">
        <f aca="false">I22/H22</f>
        <v>6.8897108271688</v>
      </c>
      <c r="L22" s="0" t="s">
        <v>86</v>
      </c>
      <c r="O22" s="0" t="s">
        <v>87</v>
      </c>
    </row>
    <row r="23" customFormat="false" ht="13.8" hidden="false" customHeight="false" outlineLevel="0" collapsed="false">
      <c r="C23" s="64" t="s">
        <v>68</v>
      </c>
      <c r="D23" s="0" t="n">
        <v>0.932</v>
      </c>
      <c r="E23" s="0" t="n">
        <v>13.708</v>
      </c>
      <c r="F23" s="65" t="n">
        <f aca="false">E23/D23</f>
        <v>14.7081545064378</v>
      </c>
      <c r="H23" s="0" t="n">
        <v>0.936</v>
      </c>
      <c r="I23" s="0" t="n">
        <v>13.687</v>
      </c>
      <c r="J23" s="65" t="n">
        <f aca="false">I23/H23</f>
        <v>14.6228632478632</v>
      </c>
      <c r="P23" s="65"/>
    </row>
    <row r="24" customFormat="false" ht="13.8" hidden="false" customHeight="false" outlineLevel="0" collapsed="false">
      <c r="C24" s="64" t="s">
        <v>69</v>
      </c>
      <c r="D24" s="0" t="n">
        <v>0.932</v>
      </c>
      <c r="E24" s="0" t="n">
        <v>13.708</v>
      </c>
      <c r="F24" s="65" t="n">
        <f aca="false">E24/D24</f>
        <v>14.7081545064378</v>
      </c>
      <c r="H24" s="0" t="n">
        <v>0.938</v>
      </c>
      <c r="I24" s="0" t="n">
        <v>13.687</v>
      </c>
      <c r="J24" s="65" t="n">
        <f aca="false">I24/H24</f>
        <v>14.591684434968</v>
      </c>
    </row>
    <row r="25" customFormat="false" ht="13.8" hidden="false" customHeight="false" outlineLevel="0" collapsed="false">
      <c r="C25" s="64" t="s">
        <v>70</v>
      </c>
      <c r="D25" s="0" t="n">
        <v>510</v>
      </c>
      <c r="E25" s="0" t="n">
        <v>166</v>
      </c>
      <c r="F25" s="65" t="n">
        <f aca="false">E25/D25</f>
        <v>0.325490196078431</v>
      </c>
      <c r="H25" s="0" t="n">
        <v>509</v>
      </c>
      <c r="I25" s="0" t="n">
        <v>169</v>
      </c>
      <c r="J25" s="65" t="n">
        <f aca="false">I25/H25</f>
        <v>0.332023575638507</v>
      </c>
    </row>
    <row r="26" customFormat="false" ht="13.8" hidden="false" customHeight="false" outlineLevel="0" collapsed="false">
      <c r="C26" s="64" t="s">
        <v>71</v>
      </c>
      <c r="D26" s="0" t="n">
        <v>0.932</v>
      </c>
      <c r="E26" s="0" t="n">
        <v>13.708</v>
      </c>
      <c r="F26" s="66" t="n">
        <f aca="false">E26/D26</f>
        <v>14.7081545064378</v>
      </c>
      <c r="H26" s="0" t="n">
        <v>0.938</v>
      </c>
      <c r="I26" s="0" t="n">
        <v>13.687</v>
      </c>
      <c r="J26" s="66" t="n">
        <f aca="false">I26/H26</f>
        <v>14.591684434968</v>
      </c>
    </row>
    <row r="27" customFormat="false" ht="13.8" hidden="false" customHeight="false" outlineLevel="0" collapsed="false">
      <c r="C27" s="64" t="s">
        <v>72</v>
      </c>
      <c r="D27" s="72" t="n">
        <f aca="false">(D23+6.3)*(D22/D21)</f>
        <v>8.02402416918429</v>
      </c>
      <c r="F27" s="65"/>
      <c r="H27" s="72" t="n">
        <f aca="false">(H23+6.3)*(H22/H21)</f>
        <v>8.0148469273743</v>
      </c>
      <c r="J27" s="65"/>
    </row>
    <row r="28" customFormat="false" ht="25" hidden="false" customHeight="false" outlineLevel="0" collapsed="false">
      <c r="C28" s="61" t="s">
        <v>73</v>
      </c>
      <c r="D28" s="58"/>
      <c r="E28" s="73" t="n">
        <f aca="false">(D27*(E21/E22)-6.3)</f>
        <v>-2.29165110996617</v>
      </c>
      <c r="H28" s="58"/>
      <c r="I28" s="73" t="n">
        <f aca="false">(H27*(I21/I22)-6.3)</f>
        <v>-2.31213448391503</v>
      </c>
    </row>
    <row r="29" customFormat="false" ht="15" hidden="false" customHeight="false" outlineLevel="0" collapsed="false">
      <c r="E29" s="73" t="n">
        <f aca="false">(65535 + (E28*4096))/4096</f>
        <v>13.7081047494088</v>
      </c>
      <c r="I29" s="73" t="n">
        <f aca="false">(65535 + (I28*4096))/4096</f>
        <v>13.68762137546</v>
      </c>
      <c r="L29" s="69"/>
    </row>
    <row r="32" customFormat="false" ht="13.8" hidden="false" customHeight="false" outlineLevel="0" collapsed="false">
      <c r="G32" s="0" t="s">
        <v>88</v>
      </c>
    </row>
  </sheetData>
  <mergeCells count="4">
    <mergeCell ref="L3:N3"/>
    <mergeCell ref="L7:N7"/>
    <mergeCell ref="L17:N17"/>
    <mergeCell ref="L21:N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9"/>
  <sheetViews>
    <sheetView showFormulas="false" showGridLines="true" showRowColHeaders="true" showZeros="true" rightToLeft="false" tabSelected="false" showOutlineSymbols="true" defaultGridColor="true" view="normal" topLeftCell="A23" colorId="64" zoomScale="93" zoomScaleNormal="93" zoomScalePageLayoutView="100" workbookViewId="0">
      <selection pane="topLeft" activeCell="M32" activeCellId="0" sqref="M32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8" min="8" style="0" width="14.01"/>
    <col collapsed="false" customWidth="true" hidden="false" outlineLevel="0" max="9" min="9" style="0" width="15.42"/>
    <col collapsed="false" customWidth="true" hidden="false" outlineLevel="0" max="10" min="10" style="0" width="15.15"/>
    <col collapsed="false" customWidth="true" hidden="false" outlineLevel="0" max="11" min="11" style="0" width="19.71"/>
    <col collapsed="false" customWidth="true" hidden="false" outlineLevel="0" max="12" min="12" style="0" width="18.71"/>
    <col collapsed="false" customWidth="true" hidden="false" outlineLevel="0" max="13" min="13" style="0" width="20.86"/>
    <col collapsed="false" customWidth="true" hidden="false" outlineLevel="0" max="14" min="14" style="0" width="13.14"/>
    <col collapsed="false" customWidth="true" hidden="false" outlineLevel="0" max="15" min="15" style="0" width="16.41"/>
    <col collapsed="false" customWidth="true" hidden="false" outlineLevel="0" max="16" min="16" style="0" width="17.29"/>
  </cols>
  <sheetData>
    <row r="2" customFormat="false" ht="13.8" hidden="false" customHeight="false" outlineLevel="0" collapsed="false">
      <c r="A2" s="74" t="s">
        <v>0</v>
      </c>
      <c r="B2" s="2" t="n">
        <v>43939</v>
      </c>
      <c r="C2" s="2"/>
    </row>
    <row r="3" customFormat="false" ht="15" hidden="false" customHeight="true" outlineLevel="0" collapsed="false">
      <c r="A3" s="3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3.8" hidden="false" customHeight="false" outlineLevel="0" collapsed="false">
      <c r="A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customFormat="false" ht="13.5" hidden="false" customHeight="true" outlineLevel="0" collapsed="false">
      <c r="A5" s="9" t="s">
        <v>3</v>
      </c>
      <c r="B5" s="9"/>
      <c r="C5" s="4" t="s">
        <v>89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3.8" hidden="false" customHeight="false" outlineLevel="0" collapsed="false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8" customFormat="false" ht="19.7" hidden="false" customHeight="false" outlineLevel="0" collapsed="false">
      <c r="C8" s="11" t="s">
        <v>5</v>
      </c>
    </row>
    <row r="9" customFormat="false" ht="13.5" hidden="false" customHeight="true" outlineLevel="0" collapsed="false">
      <c r="I9" s="12" t="s">
        <v>6</v>
      </c>
      <c r="J9" s="12"/>
      <c r="K9" s="12"/>
      <c r="L9" s="12"/>
      <c r="M9" s="12"/>
      <c r="N9" s="12"/>
      <c r="O9" s="12"/>
      <c r="P9" s="12"/>
    </row>
    <row r="10" customFormat="false" ht="21" hidden="false" customHeight="true" outlineLevel="0" collapsed="false"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4" t="s">
        <v>12</v>
      </c>
      <c r="O10" s="15" t="s">
        <v>24</v>
      </c>
      <c r="P10" s="15"/>
    </row>
    <row r="11" customFormat="false" ht="13.8" hidden="false" customHeight="false" outlineLevel="0" collapsed="false">
      <c r="I11" s="24" t="n">
        <v>9576</v>
      </c>
      <c r="J11" s="24" t="n">
        <v>14727</v>
      </c>
      <c r="K11" s="24" t="n">
        <v>15764</v>
      </c>
      <c r="L11" s="24" t="n">
        <v>17355</v>
      </c>
      <c r="M11" s="24" t="n">
        <v>18199</v>
      </c>
      <c r="N11" s="15" t="n">
        <f aca="false">O11*((L11-J11)/(M11-K11))-6.3</f>
        <v>1.00619214484186</v>
      </c>
      <c r="O11" s="15" t="n">
        <f aca="false">14.4-(7.07*((L11-J11)/(M11-K11)))</f>
        <v>6.76962628336756</v>
      </c>
      <c r="P11" s="15"/>
    </row>
    <row r="12" customFormat="false" ht="13.8" hidden="false" customHeight="false" outlineLevel="0" collapsed="false">
      <c r="H12" s="75" t="s">
        <v>90</v>
      </c>
      <c r="I12" s="76" t="n">
        <v>9930</v>
      </c>
      <c r="J12" s="76" t="n">
        <f aca="false">16697 - 12</f>
        <v>16685</v>
      </c>
      <c r="K12" s="76" t="n">
        <f aca="false">15563-2</f>
        <v>15561</v>
      </c>
      <c r="L12" s="76" t="n">
        <v>19333</v>
      </c>
      <c r="M12" s="76" t="n">
        <v>18499</v>
      </c>
      <c r="N12" s="24"/>
    </row>
    <row r="13" customFormat="false" ht="13.8" hidden="false" customHeight="false" outlineLevel="0" collapsed="false">
      <c r="H13" s="75" t="s">
        <v>91</v>
      </c>
      <c r="I13" s="76" t="n">
        <v>9861</v>
      </c>
      <c r="J13" s="76" t="n">
        <v>16604</v>
      </c>
      <c r="K13" s="76" t="n">
        <v>15493</v>
      </c>
      <c r="L13" s="76" t="n">
        <v>19289</v>
      </c>
      <c r="M13" s="76" t="n">
        <v>18467</v>
      </c>
    </row>
    <row r="15" customFormat="false" ht="13.8" hidden="false" customHeight="false" outlineLevel="0" collapsed="false">
      <c r="O15" s="0" t="s">
        <v>92</v>
      </c>
    </row>
    <row r="16" customFormat="false" ht="19.7" hidden="false" customHeight="false" outlineLevel="0" collapsed="false">
      <c r="B16" s="11" t="s">
        <v>13</v>
      </c>
      <c r="K16" s="16" t="s">
        <v>14</v>
      </c>
      <c r="L16" s="16"/>
      <c r="M16" s="16"/>
      <c r="O16" s="77" t="s">
        <v>93</v>
      </c>
      <c r="P16" s="77"/>
    </row>
    <row r="17" customFormat="false" ht="25" hidden="false" customHeight="false" outlineLevel="0" collapsed="false">
      <c r="B17" s="11"/>
      <c r="K17" s="13" t="s">
        <v>15</v>
      </c>
      <c r="L17" s="13" t="s">
        <v>16</v>
      </c>
      <c r="M17" s="13" t="s">
        <v>17</v>
      </c>
      <c r="O17" s="78" t="s">
        <v>94</v>
      </c>
      <c r="P17" s="78" t="s">
        <v>95</v>
      </c>
    </row>
    <row r="18" customFormat="false" ht="19.7" hidden="false" customHeight="false" outlineLevel="0" collapsed="false">
      <c r="B18" s="11"/>
      <c r="K18" s="24" t="n">
        <v>9603</v>
      </c>
      <c r="L18" s="24" t="n">
        <v>16545</v>
      </c>
      <c r="M18" s="24" t="n">
        <v>17709</v>
      </c>
      <c r="O18" s="79" t="n">
        <f aca="false">(L18-J11)/(L11-J11)</f>
        <v>0.691780821917808</v>
      </c>
      <c r="P18" s="79" t="n">
        <f aca="false">(N53/4096)/N11</f>
        <v>15.8624394094279</v>
      </c>
    </row>
    <row r="19" customFormat="false" ht="19.5" hidden="false" customHeight="true" outlineLevel="0" collapsed="false">
      <c r="B19" s="11"/>
      <c r="I19" s="17" t="s">
        <v>96</v>
      </c>
      <c r="J19" s="17"/>
      <c r="K19" s="17"/>
      <c r="L19" s="17"/>
      <c r="M19" s="17"/>
      <c r="N19" s="17"/>
      <c r="O19" s="17"/>
      <c r="P19" s="17"/>
    </row>
    <row r="20" customFormat="false" ht="21" hidden="false" customHeight="true" outlineLevel="0" collapsed="false">
      <c r="B20" s="11"/>
      <c r="I20" s="17"/>
      <c r="J20" s="17"/>
      <c r="K20" s="17"/>
      <c r="L20" s="17"/>
      <c r="M20" s="17"/>
      <c r="N20" s="17"/>
      <c r="O20" s="17"/>
      <c r="P20" s="17"/>
    </row>
    <row r="21" customFormat="false" ht="19.7" hidden="false" customHeight="false" outlineLevel="0" collapsed="false">
      <c r="B21" s="11"/>
      <c r="I21" s="17"/>
      <c r="J21" s="17"/>
      <c r="K21" s="17"/>
      <c r="L21" s="17"/>
      <c r="M21" s="17"/>
      <c r="N21" s="17"/>
      <c r="O21" s="17"/>
      <c r="P21" s="17"/>
    </row>
    <row r="22" customFormat="false" ht="19.7" hidden="false" customHeight="false" outlineLevel="0" collapsed="false">
      <c r="B22" s="11"/>
      <c r="L22" s="18"/>
      <c r="M22" s="18"/>
      <c r="N22" s="18"/>
      <c r="O22" s="18"/>
      <c r="P22" s="18"/>
    </row>
    <row r="23" customFormat="false" ht="19.5" hidden="false" customHeight="true" outlineLevel="0" collapsed="false">
      <c r="B23" s="11"/>
      <c r="I23" s="19" t="s">
        <v>19</v>
      </c>
      <c r="J23" s="19"/>
      <c r="K23" s="19"/>
      <c r="L23" s="19"/>
      <c r="M23" s="19"/>
      <c r="N23" s="19"/>
      <c r="O23" s="19"/>
      <c r="P23" s="19"/>
    </row>
    <row r="24" customFormat="false" ht="13.5" hidden="false" customHeight="true" outlineLevel="0" collapsed="false">
      <c r="I24" s="12" t="s">
        <v>20</v>
      </c>
      <c r="J24" s="12"/>
      <c r="K24" s="12"/>
      <c r="L24" s="12"/>
      <c r="M24" s="12"/>
      <c r="N24" s="12"/>
      <c r="O24" s="12"/>
      <c r="P24" s="12"/>
    </row>
    <row r="25" customFormat="false" ht="15.75" hidden="false" customHeight="true" outlineLevel="0" collapsed="false">
      <c r="I25" s="20" t="s">
        <v>21</v>
      </c>
      <c r="J25" s="20" t="s">
        <v>22</v>
      </c>
      <c r="K25" s="20" t="s">
        <v>23</v>
      </c>
      <c r="L25" s="20" t="s">
        <v>24</v>
      </c>
      <c r="M25" s="20" t="s">
        <v>25</v>
      </c>
      <c r="N25" s="21" t="s">
        <v>26</v>
      </c>
      <c r="O25" s="22"/>
      <c r="P25" s="23"/>
    </row>
    <row r="26" customFormat="false" ht="15.75" hidden="false" customHeight="true" outlineLevel="0" collapsed="false">
      <c r="I26" s="24" t="n">
        <f aca="false">$L$11-$J$11</f>
        <v>2628</v>
      </c>
      <c r="J26" s="24" t="n">
        <f aca="false">$M$11-$K$11</f>
        <v>2435</v>
      </c>
      <c r="K26" s="25" t="n">
        <f aca="false">I26/$N$11</f>
        <v>2611.82718775152</v>
      </c>
      <c r="L26" s="26" t="n">
        <f aca="false">14.4-(7.07*(I26/J26))</f>
        <v>6.76962628336756</v>
      </c>
      <c r="M26" s="24" t="n">
        <f aca="false">0.2*I26</f>
        <v>525.6</v>
      </c>
      <c r="N26" s="27" t="n">
        <f aca="false">0.97*$N$11*4096</f>
        <v>3997.72213451411</v>
      </c>
      <c r="O26" s="28"/>
      <c r="P26" s="24"/>
    </row>
    <row r="27" customFormat="false" ht="15.75" hidden="false" customHeight="true" outlineLevel="0" collapsed="false">
      <c r="I27" s="29"/>
      <c r="J27" s="29"/>
      <c r="K27" s="29"/>
    </row>
    <row r="28" customFormat="false" ht="15.75" hidden="false" customHeight="true" outlineLevel="0" collapsed="false">
      <c r="J28" s="30" t="s">
        <v>27</v>
      </c>
      <c r="K28" s="30"/>
      <c r="L28" s="30"/>
      <c r="M28" s="30"/>
      <c r="N28" s="30"/>
      <c r="O28" s="30"/>
    </row>
    <row r="29" customFormat="false" ht="15" hidden="false" customHeight="true" outlineLevel="0" collapsed="false">
      <c r="B29" s="5" t="s">
        <v>97</v>
      </c>
      <c r="J29" s="30"/>
      <c r="K29" s="30"/>
      <c r="L29" s="30"/>
      <c r="M29" s="30"/>
      <c r="N29" s="30"/>
      <c r="O29" s="30"/>
    </row>
    <row r="30" customFormat="false" ht="25" hidden="false" customHeight="false" outlineLevel="0" collapsed="false">
      <c r="I30" s="31" t="s">
        <v>28</v>
      </c>
      <c r="J30" s="31" t="s">
        <v>29</v>
      </c>
      <c r="K30" s="32" t="s">
        <v>30</v>
      </c>
      <c r="L30" s="32" t="s">
        <v>31</v>
      </c>
      <c r="M30" s="32" t="s">
        <v>32</v>
      </c>
      <c r="N30" s="31" t="s">
        <v>33</v>
      </c>
      <c r="O30" s="31" t="s">
        <v>34</v>
      </c>
      <c r="P30" s="31" t="s">
        <v>35</v>
      </c>
    </row>
    <row r="31" customFormat="false" ht="13.8" hidden="false" customHeight="false" outlineLevel="0" collapsed="false">
      <c r="A31" s="0" t="s">
        <v>98</v>
      </c>
      <c r="C31" s="0" t="s">
        <v>99</v>
      </c>
      <c r="I31" s="33"/>
      <c r="J31" s="34"/>
      <c r="K31" s="34"/>
      <c r="L31" s="34"/>
      <c r="M31" s="34"/>
      <c r="N31" s="34" t="n">
        <f aca="false">N26</f>
        <v>3997.72213451411</v>
      </c>
      <c r="O31" s="35"/>
      <c r="P31" s="36"/>
    </row>
    <row r="32" customFormat="false" ht="13.8" hidden="false" customHeight="false" outlineLevel="0" collapsed="false">
      <c r="A32" s="0" t="s">
        <v>100</v>
      </c>
      <c r="C32" s="0" t="s">
        <v>101</v>
      </c>
      <c r="I32" s="37" t="n">
        <f aca="false">IF(($L$18-(1.4*($K$18-$I$11))-$J$11)&lt;0, 0, ($L$18-(1.4*($K$18-$I$11))-$J$11))</f>
        <v>1780.2</v>
      </c>
      <c r="J32" s="38" t="n">
        <f aca="false">IF(($M$18-(1.05*($K$18-$I$11))-$K$11)&lt;0, 0, ($M$18-(1.05*($K$18-$I$11))-$K$11))</f>
        <v>1916.65</v>
      </c>
      <c r="K32" s="38" t="n">
        <f aca="false">($L$26*(I32/J32)-6.3)*4096</f>
        <v>-50.4481075156291</v>
      </c>
      <c r="L32" s="38" t="n">
        <f aca="false">IF(K32&lt;0,65535+K32,K32)</f>
        <v>65484.5518924844</v>
      </c>
      <c r="M32" s="38" t="n">
        <f aca="false">IF(L32 &lt; $N$26,$N$26,L32)</f>
        <v>65484.5518924844</v>
      </c>
      <c r="N32" s="38" t="n">
        <f aca="false">IF(OR(I32&lt;$M$26,J32=0),(N31),((N31*3)+M32)/4)</f>
        <v>19369.4295740067</v>
      </c>
      <c r="O32" s="39" t="n">
        <f aca="false">IF((I32/$K$26)/(N32/4096)*100 &gt; 100, 100, (I32/$K$26)/(N32/4096)*100)</f>
        <v>14.4134343824994</v>
      </c>
      <c r="P32" s="40" t="n">
        <f aca="false">(IF(((O32/100)*(460)+50)&lt;510,((O32/100)*(460)+50),510))/100</f>
        <v>1.16301798159497</v>
      </c>
    </row>
    <row r="33" customFormat="false" ht="13.8" hidden="false" customHeight="false" outlineLevel="0" collapsed="false">
      <c r="A33" s="0" t="s">
        <v>102</v>
      </c>
      <c r="C33" s="0" t="s">
        <v>103</v>
      </c>
      <c r="I33" s="37" t="n">
        <f aca="false">IF(($L$18-(1.4*($K$18-$I$11))-$J$11)&lt;0, 0, ($L$18-(1.4*($K$18-$I$11))-$J$11))</f>
        <v>1780.2</v>
      </c>
      <c r="J33" s="38" t="n">
        <f aca="false">IF(($M$18-(1.05*($K$18-$I$11))-$K$11)&lt;0, 0, ($M$18-(1.05*($K$18-$I$11))-$K$11))</f>
        <v>1916.65</v>
      </c>
      <c r="K33" s="38" t="n">
        <f aca="false">($L$26*(I33/J33)-6.3)*4096</f>
        <v>-50.4481075156291</v>
      </c>
      <c r="L33" s="38" t="n">
        <f aca="false">IF(K33&lt;0,65535+K33,K33)</f>
        <v>65484.5518924844</v>
      </c>
      <c r="M33" s="38" t="n">
        <f aca="false">IF(L33 &lt; $N$26,$N$26,L33)</f>
        <v>65484.5518924844</v>
      </c>
      <c r="N33" s="38" t="n">
        <f aca="false">IF(OR(I33&lt;$M$26,J33=0),(N32),((N32*3)+M33)/4)</f>
        <v>30898.2101536261</v>
      </c>
      <c r="O33" s="39" t="n">
        <f aca="false">IF((I33/$K$26)/(N33/4096)*100 &gt; 100, 100, (I33/$K$26)/(N33/4096)*100)</f>
        <v>9.03547489654917</v>
      </c>
      <c r="P33" s="40" t="n">
        <f aca="false">(IF(((O33/100)*(460)+50)&lt;510,((O33/100)*(460)+50),510))/100</f>
        <v>0.915631845241262</v>
      </c>
    </row>
    <row r="34" customFormat="false" ht="13.8" hidden="false" customHeight="false" outlineLevel="0" collapsed="false">
      <c r="A34" s="0" t="s">
        <v>104</v>
      </c>
      <c r="B34" s="0" t="s">
        <v>105</v>
      </c>
      <c r="I34" s="37" t="n">
        <f aca="false">IF(($L$18-(1.4*($K$18-$I$11))-$J$11)&lt;0, 0, ($L$18-(1.4*($K$18-$I$11))-$J$11))</f>
        <v>1780.2</v>
      </c>
      <c r="J34" s="38" t="n">
        <f aca="false">IF(($M$18-(1.05*($K$18-$I$11))-$K$11)&lt;0, 0, ($M$18-(1.05*($K$18-$I$11))-$K$11))</f>
        <v>1916.65</v>
      </c>
      <c r="K34" s="38" t="n">
        <f aca="false">($L$26*(I34/J34)-6.3)*4096</f>
        <v>-50.4481075156291</v>
      </c>
      <c r="L34" s="38" t="n">
        <f aca="false">IF(K34&lt;0,65535+K34,K34)</f>
        <v>65484.5518924844</v>
      </c>
      <c r="M34" s="38" t="n">
        <f aca="false">IF(L34 &lt; $N$26,$N$26,L34)</f>
        <v>65484.5518924844</v>
      </c>
      <c r="N34" s="38" t="n">
        <f aca="false">IF(OR(I34&lt;$M$26,J34=0),(N33),((N33*3)+M34)/4)</f>
        <v>39544.7955883407</v>
      </c>
      <c r="O34" s="39" t="n">
        <f aca="false">IF((I34/$K$26)/(N34/4096)*100 &gt; 100, 100, (I34/$K$26)/(N34/4096)*100)</f>
        <v>7.05984183349028</v>
      </c>
      <c r="P34" s="40" t="n">
        <f aca="false">(IF(((O34/100)*(460)+50)&lt;510,((O34/100)*(460)+50),510))/100</f>
        <v>0.824752724340553</v>
      </c>
    </row>
    <row r="35" customFormat="false" ht="13.8" hidden="false" customHeight="false" outlineLevel="0" collapsed="false">
      <c r="I35" s="37" t="n">
        <f aca="false">IF(($L$18-(1.4*($K$18-$I$11))-$J$11)&lt;0, 0, ($L$18-(1.4*($K$18-$I$11))-$J$11))</f>
        <v>1780.2</v>
      </c>
      <c r="J35" s="38" t="n">
        <f aca="false">IF(($M$18-(1.05*($K$18-$I$11))-$K$11)&lt;0, 0, ($M$18-(1.05*($K$18-$I$11))-$K$11))</f>
        <v>1916.65</v>
      </c>
      <c r="K35" s="38" t="n">
        <f aca="false">($L$26*(I35/J35)-6.3)*4096</f>
        <v>-50.4481075156291</v>
      </c>
      <c r="L35" s="38" t="n">
        <f aca="false">IF(K35&lt;0,65535+K35,K35)</f>
        <v>65484.5518924844</v>
      </c>
      <c r="M35" s="38" t="n">
        <f aca="false">IF(L35 &lt; $N$26,$N$26,L35)</f>
        <v>65484.5518924844</v>
      </c>
      <c r="N35" s="38" t="n">
        <f aca="false">IF(OR(I35&lt;$M$26,J35=0),(N34),((N34*3)+M35)/4)</f>
        <v>46029.7346643766</v>
      </c>
      <c r="O35" s="39" t="n">
        <f aca="false">IF((I35/$K$26)/(N35/4096)*100 &gt; 100, 100, (I35/$K$26)/(N35/4096)*100)</f>
        <v>6.06520989588612</v>
      </c>
      <c r="P35" s="40" t="n">
        <f aca="false">(IF(((O35/100)*(460)+50)&lt;510,((O35/100)*(460)+50),510))/100</f>
        <v>0.778999655210762</v>
      </c>
    </row>
    <row r="36" customFormat="false" ht="13.8" hidden="false" customHeight="false" outlineLevel="0" collapsed="false">
      <c r="A36" s="0" t="s">
        <v>106</v>
      </c>
      <c r="B36" s="0" t="s">
        <v>107</v>
      </c>
      <c r="I36" s="37" t="n">
        <f aca="false">IF(($L$18-(1.4*($K$18-$I$11))-$J$11)&lt;0, 0, ($L$18-(1.4*($K$18-$I$11))-$J$11))</f>
        <v>1780.2</v>
      </c>
      <c r="J36" s="38" t="n">
        <f aca="false">IF(($M$18-(1.05*($K$18-$I$11))-$K$11)&lt;0, 0, ($M$18-(1.05*($K$18-$I$11))-$K$11))</f>
        <v>1916.65</v>
      </c>
      <c r="K36" s="38" t="n">
        <f aca="false">($L$26*(I36/J36)-6.3)*4096</f>
        <v>-50.4481075156291</v>
      </c>
      <c r="L36" s="38" t="n">
        <f aca="false">IF(K36&lt;0,65535+K36,K36)</f>
        <v>65484.5518924844</v>
      </c>
      <c r="M36" s="38" t="n">
        <f aca="false">IF(L36 &lt; $N$26,$N$26,L36)</f>
        <v>65484.5518924844</v>
      </c>
      <c r="N36" s="38" t="n">
        <f aca="false">IF(OR(I36&lt;$M$26,J36=0),(N35),((N35*3)+M36)/4)</f>
        <v>50893.4389714035</v>
      </c>
      <c r="O36" s="39" t="n">
        <f aca="false">IF((I36/$K$26)/(N36/4096)*100 &gt; 100, 100, (I36/$K$26)/(N36/4096)*100)</f>
        <v>5.48557943487092</v>
      </c>
      <c r="P36" s="40" t="n">
        <f aca="false">(IF(((O36/100)*(460)+50)&lt;510,((O36/100)*(460)+50),510))/100</f>
        <v>0.752336654004062</v>
      </c>
    </row>
    <row r="37" customFormat="false" ht="13.8" hidden="false" customHeight="false" outlineLevel="0" collapsed="false">
      <c r="A37" s="0" t="s">
        <v>108</v>
      </c>
      <c r="B37" s="0" t="s">
        <v>109</v>
      </c>
      <c r="I37" s="37" t="n">
        <f aca="false">IF(($L$18-(1.4*($K$18-$I$11))-$J$11)&lt;0, 0, ($L$18-(1.4*($K$18-$I$11))-$J$11))</f>
        <v>1780.2</v>
      </c>
      <c r="J37" s="38" t="n">
        <f aca="false">IF(($M$18-(1.05*($K$18-$I$11))-$K$11)&lt;0, 0, ($M$18-(1.05*($K$18-$I$11))-$K$11))</f>
        <v>1916.65</v>
      </c>
      <c r="K37" s="38" t="n">
        <f aca="false">($L$26*(I37/J37)-6.3)*4096</f>
        <v>-50.4481075156291</v>
      </c>
      <c r="L37" s="38" t="n">
        <f aca="false">IF(K37&lt;0,65535+K37,K37)</f>
        <v>65484.5518924844</v>
      </c>
      <c r="M37" s="38" t="n">
        <f aca="false">IF(L37 &lt; $N$26,$N$26,L37)</f>
        <v>65484.5518924844</v>
      </c>
      <c r="N37" s="38" t="n">
        <f aca="false">IF(OR(I37&lt;$M$26,J37=0),(N36),((N36*3)+M37)/4)</f>
        <v>54541.2172016737</v>
      </c>
      <c r="O37" s="39" t="n">
        <f aca="false">IF((I37/$K$26)/(N37/4096)*100 &gt; 100, 100, (I37/$K$26)/(N37/4096)*100)</f>
        <v>5.11869768434178</v>
      </c>
      <c r="P37" s="40" t="n">
        <f aca="false">(IF(((O37/100)*(460)+50)&lt;510,((O37/100)*(460)+50),510))/100</f>
        <v>0.735460093479722</v>
      </c>
    </row>
    <row r="38" customFormat="false" ht="13.8" hidden="false" customHeight="false" outlineLevel="0" collapsed="false">
      <c r="I38" s="37" t="n">
        <f aca="false">IF(($L$18-(1.4*($K$18-$I$11))-$J$11)&lt;0, 0, ($L$18-(1.4*($K$18-$I$11))-$J$11))</f>
        <v>1780.2</v>
      </c>
      <c r="J38" s="38" t="n">
        <f aca="false">IF(($M$18-(1.05*($K$18-$I$11))-$K$11)&lt;0, 0, ($M$18-(1.05*($K$18-$I$11))-$K$11))</f>
        <v>1916.65</v>
      </c>
      <c r="K38" s="38" t="n">
        <f aca="false">($L$26*(I38/J38)-6.3)*4096</f>
        <v>-50.4481075156291</v>
      </c>
      <c r="L38" s="38" t="n">
        <f aca="false">IF(K38&lt;0,65535+K38,K38)</f>
        <v>65484.5518924844</v>
      </c>
      <c r="M38" s="38" t="n">
        <f aca="false">IF(L38 &lt; $N$26,$N$26,L38)</f>
        <v>65484.5518924844</v>
      </c>
      <c r="N38" s="38" t="n">
        <f aca="false">IF(OR(I38&lt;$M$26,J38=0),(N37),((N37*3)+M38)/4)</f>
        <v>57277.0508743764</v>
      </c>
      <c r="O38" s="39" t="n">
        <f aca="false">IF((I38/$K$26)/(N38/4096)*100 &gt; 100, 100, (I38/$K$26)/(N38/4096)*100)</f>
        <v>4.87420350610761</v>
      </c>
      <c r="P38" s="40" t="n">
        <f aca="false">(IF(((O38/100)*(460)+50)&lt;510,((O38/100)*(460)+50),510))/100</f>
        <v>0.72421336128095</v>
      </c>
    </row>
    <row r="39" customFormat="false" ht="13.8" hidden="false" customHeight="false" outlineLevel="0" collapsed="false">
      <c r="A39" s="0" t="s">
        <v>110</v>
      </c>
      <c r="B39" s="0" t="s">
        <v>111</v>
      </c>
      <c r="I39" s="37" t="n">
        <f aca="false">IF(($L$18-(1.4*($K$18-$I$11))-$J$11)&lt;0, 0, ($L$18-(1.4*($K$18-$I$11))-$J$11))</f>
        <v>1780.2</v>
      </c>
      <c r="J39" s="38" t="n">
        <f aca="false">IF(($M$18-(1.05*($K$18-$I$11))-$K$11)&lt;0, 0, ($M$18-(1.05*($K$18-$I$11))-$K$11))</f>
        <v>1916.65</v>
      </c>
      <c r="K39" s="38" t="n">
        <f aca="false">($L$26*(I39/J39)-6.3)*4096</f>
        <v>-50.4481075156291</v>
      </c>
      <c r="L39" s="38" t="n">
        <f aca="false">IF(K39&lt;0,65535+K39,K39)</f>
        <v>65484.5518924844</v>
      </c>
      <c r="M39" s="38" t="n">
        <f aca="false">IF(L39 &lt; $N$26,$N$26,L39)</f>
        <v>65484.5518924844</v>
      </c>
      <c r="N39" s="38" t="n">
        <f aca="false">IF(OR(I39&lt;$M$26,J39=0),(N38),((N38*3)+M39)/4)</f>
        <v>59328.9261289034</v>
      </c>
      <c r="O39" s="39" t="n">
        <f aca="false">IF((I39/$K$26)/(N39/4096)*100 &gt; 100, 100, (I39/$K$26)/(N39/4096)*100)</f>
        <v>4.70563046404746</v>
      </c>
      <c r="P39" s="40" t="n">
        <f aca="false">(IF(((O39/100)*(460)+50)&lt;510,((O39/100)*(460)+50),510))/100</f>
        <v>0.716459001346183</v>
      </c>
    </row>
    <row r="40" customFormat="false" ht="13.8" hidden="false" customHeight="false" outlineLevel="0" collapsed="false">
      <c r="I40" s="37" t="n">
        <f aca="false">IF(($L$18-(1.4*($K$18-$I$11))-$J$11)&lt;0, 0, ($L$18-(1.4*($K$18-$I$11))-$J$11))</f>
        <v>1780.2</v>
      </c>
      <c r="J40" s="38" t="n">
        <f aca="false">IF(($M$18-(1.05*($K$18-$I$11))-$K$11)&lt;0, 0, ($M$18-(1.05*($K$18-$I$11))-$K$11))</f>
        <v>1916.65</v>
      </c>
      <c r="K40" s="38" t="n">
        <f aca="false">($L$26*(I40/J40)-6.3)*4096</f>
        <v>-50.4481075156291</v>
      </c>
      <c r="L40" s="38" t="n">
        <f aca="false">IF(K40&lt;0,65535+K40,K40)</f>
        <v>65484.5518924844</v>
      </c>
      <c r="M40" s="38" t="n">
        <f aca="false">IF(L40 &lt; $N$26,$N$26,L40)</f>
        <v>65484.5518924844</v>
      </c>
      <c r="N40" s="38" t="n">
        <f aca="false">IF(OR(I40&lt;$M$26,J40=0),(N39),((N39*3)+M40)/4)</f>
        <v>60867.8325697986</v>
      </c>
      <c r="O40" s="39" t="n">
        <f aca="false">IF((I40/$K$26)/(N40/4096)*100 &gt; 100, 100, (I40/$K$26)/(N40/4096)*100)</f>
        <v>4.58665916633793</v>
      </c>
      <c r="P40" s="40" t="n">
        <f aca="false">(IF(((O40/100)*(460)+50)&lt;510,((O40/100)*(460)+50),510))/100</f>
        <v>0.710986321651545</v>
      </c>
    </row>
    <row r="41" customFormat="false" ht="13.8" hidden="false" customHeight="false" outlineLevel="0" collapsed="false">
      <c r="A41" s="0" t="s">
        <v>112</v>
      </c>
      <c r="B41" s="0" t="s">
        <v>113</v>
      </c>
      <c r="F41" s="29"/>
      <c r="G41" s="29"/>
      <c r="I41" s="37" t="n">
        <f aca="false">IF(($L$18-(1.4*($K$18-$I$11))-$J$11)&lt;0, 0, ($L$18-(1.4*($K$18-$I$11))-$J$11))</f>
        <v>1780.2</v>
      </c>
      <c r="J41" s="38" t="n">
        <f aca="false">IF(($M$18-(1.05*($K$18-$I$11))-$K$11)&lt;0, 0, ($M$18-(1.05*($K$18-$I$11))-$K$11))</f>
        <v>1916.65</v>
      </c>
      <c r="K41" s="38" t="n">
        <f aca="false">($L$26*(I41/J41)-6.3)*4096</f>
        <v>-50.4481075156291</v>
      </c>
      <c r="L41" s="38" t="n">
        <f aca="false">IF(K41&lt;0,65535+K41,K41)</f>
        <v>65484.5518924844</v>
      </c>
      <c r="M41" s="38" t="n">
        <f aca="false">IF(L41 &lt; $N$26,$N$26,L41)</f>
        <v>65484.5518924844</v>
      </c>
      <c r="N41" s="38" t="n">
        <f aca="false">IF(OR(I41&lt;$M$26,J41=0),(N40),((N40*3)+M41)/4)</f>
        <v>62022.0124004701</v>
      </c>
      <c r="O41" s="39" t="n">
        <f aca="false">IF((I41/$K$26)/(N41/4096)*100 &gt; 100, 100, (I41/$K$26)/(N41/4096)*100)</f>
        <v>4.50130512355438</v>
      </c>
      <c r="P41" s="40" t="n">
        <f aca="false">(IF(((O41/100)*(460)+50)&lt;510,((O41/100)*(460)+50),510))/100</f>
        <v>0.707060035683501</v>
      </c>
    </row>
    <row r="42" customFormat="false" ht="13.8" hidden="false" customHeight="false" outlineLevel="0" collapsed="false">
      <c r="I42" s="37" t="n">
        <f aca="false">IF(($L$18-(1.4*($K$18-$I$11))-$J$11)&lt;0, 0, ($L$18-(1.4*($K$18-$I$11))-$J$11))</f>
        <v>1780.2</v>
      </c>
      <c r="J42" s="38" t="n">
        <f aca="false">IF(($M$18-(1.05*($K$18-$I$11))-$K$11)&lt;0, 0, ($M$18-(1.05*($K$18-$I$11))-$K$11))</f>
        <v>1916.65</v>
      </c>
      <c r="K42" s="38" t="n">
        <f aca="false">($L$26*(I42/J42)-6.3)*4096</f>
        <v>-50.4481075156291</v>
      </c>
      <c r="L42" s="38" t="n">
        <f aca="false">IF(K42&lt;0,65535+K42,K42)</f>
        <v>65484.5518924844</v>
      </c>
      <c r="M42" s="38" t="n">
        <f aca="false">IF(L42 &lt; $N$26,$N$26,L42)</f>
        <v>65484.5518924844</v>
      </c>
      <c r="N42" s="38" t="n">
        <f aca="false">IF(OR(I42&lt;$M$26,J42=0),(N41),((N41*3)+M42)/4)</f>
        <v>62887.6472734736</v>
      </c>
      <c r="O42" s="39" t="n">
        <f aca="false">IF((I42/$K$26)/(N42/4096)*100 &gt; 100, 100, (I42/$K$26)/(N42/4096)*100)</f>
        <v>4.43934563138203</v>
      </c>
      <c r="P42" s="40" t="n">
        <f aca="false">(IF(((O42/100)*(460)+50)&lt;510,((O42/100)*(460)+50),510))/100</f>
        <v>0.704209899043573</v>
      </c>
    </row>
    <row r="43" customFormat="false" ht="13.8" hidden="false" customHeight="false" outlineLevel="0" collapsed="false">
      <c r="I43" s="37" t="n">
        <f aca="false">IF(($L$18-(1.4*($K$18-$I$11))-$J$11)&lt;0, 0, ($L$18-(1.4*($K$18-$I$11))-$J$11))</f>
        <v>1780.2</v>
      </c>
      <c r="J43" s="38" t="n">
        <f aca="false">IF(($M$18-(1.05*($K$18-$I$11))-$K$11)&lt;0, 0, ($M$18-(1.05*($K$18-$I$11))-$K$11))</f>
        <v>1916.65</v>
      </c>
      <c r="K43" s="38" t="n">
        <f aca="false">($L$26*(I43/J43)-6.3)*4096</f>
        <v>-50.4481075156291</v>
      </c>
      <c r="L43" s="38" t="n">
        <f aca="false">IF(K43&lt;0,65535+K43,K43)</f>
        <v>65484.5518924844</v>
      </c>
      <c r="M43" s="38" t="n">
        <f aca="false">IF(L43 &lt; $N$26,$N$26,L43)</f>
        <v>65484.5518924844</v>
      </c>
      <c r="N43" s="38" t="n">
        <f aca="false">IF(OR(I43&lt;$M$26,J43=0),(N42),((N42*3)+M43)/4)</f>
        <v>63536.8734282263</v>
      </c>
      <c r="O43" s="39" t="n">
        <f aca="false">IF((I43/$K$26)/(N43/4096)*100 &gt; 100, 100, (I43/$K$26)/(N43/4096)*100)</f>
        <v>4.39398395180338</v>
      </c>
      <c r="P43" s="40" t="n">
        <f aca="false">(IF(((O43/100)*(460)+50)&lt;510,((O43/100)*(460)+50),510))/100</f>
        <v>0.702123261782956</v>
      </c>
    </row>
    <row r="44" customFormat="false" ht="13.8" hidden="false" customHeight="false" outlineLevel="0" collapsed="false">
      <c r="I44" s="37" t="n">
        <f aca="false">IF(($L$18-(1.4*($K$18-$I$11))-$J$11)&lt;0, 0, ($L$18-(1.4*($K$18-$I$11))-$J$11))</f>
        <v>1780.2</v>
      </c>
      <c r="J44" s="38" t="n">
        <f aca="false">IF(($M$18-(1.05*($K$18-$I$11))-$K$11)&lt;0, 0, ($M$18-(1.05*($K$18-$I$11))-$K$11))</f>
        <v>1916.65</v>
      </c>
      <c r="K44" s="38" t="n">
        <f aca="false">($L$26*(I44/J44)-6.3)*4096</f>
        <v>-50.4481075156291</v>
      </c>
      <c r="L44" s="38" t="n">
        <f aca="false">IF(K44&lt;0,65535+K44,K44)</f>
        <v>65484.5518924844</v>
      </c>
      <c r="M44" s="38" t="n">
        <f aca="false">IF(L44 &lt; $N$26,$N$26,L44)</f>
        <v>65484.5518924844</v>
      </c>
      <c r="N44" s="38" t="n">
        <f aca="false">IF(OR(I44&lt;$M$26,J44=0),(N43),((N43*3)+M44)/4)</f>
        <v>64023.7930442908</v>
      </c>
      <c r="O44" s="39" t="n">
        <f aca="false">IF((I44/$K$26)/(N44/4096)*100 &gt; 100, 100, (I44/$K$26)/(N44/4096)*100)</f>
        <v>4.36056642252133</v>
      </c>
      <c r="P44" s="40" t="n">
        <f aca="false">(IF(((O44/100)*(460)+50)&lt;510,((O44/100)*(460)+50),510))/100</f>
        <v>0.700586055435981</v>
      </c>
    </row>
    <row r="45" customFormat="false" ht="13.8" hidden="false" customHeight="false" outlineLevel="0" collapsed="false">
      <c r="I45" s="37" t="n">
        <f aca="false">IF(($L$18-(1.4*($K$18-$I$11))-$J$11)&lt;0, 0, ($L$18-(1.4*($K$18-$I$11))-$J$11))</f>
        <v>1780.2</v>
      </c>
      <c r="J45" s="38" t="n">
        <f aca="false">IF(($M$18-(1.05*($K$18-$I$11))-$K$11)&lt;0, 0, ($M$18-(1.05*($K$18-$I$11))-$K$11))</f>
        <v>1916.65</v>
      </c>
      <c r="K45" s="38" t="n">
        <f aca="false">($L$26*(I45/J45)-6.3)*4096</f>
        <v>-50.4481075156291</v>
      </c>
      <c r="L45" s="38" t="n">
        <f aca="false">IF(K45&lt;0,65535+K45,K45)</f>
        <v>65484.5518924844</v>
      </c>
      <c r="M45" s="38" t="n">
        <f aca="false">IF(L45 &lt; $N$26,$N$26,L45)</f>
        <v>65484.5518924844</v>
      </c>
      <c r="N45" s="38" t="n">
        <f aca="false">IF(OR(I45&lt;$M$26,J45=0),(N44),((N44*3)+M45)/4)</f>
        <v>64388.9827563392</v>
      </c>
      <c r="O45" s="39" t="n">
        <f aca="false">IF((I45/$K$26)/(N45/4096)*100 &gt; 100, 100, (I45/$K$26)/(N45/4096)*100)</f>
        <v>4.33583495561441</v>
      </c>
      <c r="P45" s="40" t="n">
        <f aca="false">(IF(((O45/100)*(460)+50)&lt;510,((O45/100)*(460)+50),510))/100</f>
        <v>0.699448407958263</v>
      </c>
    </row>
    <row r="46" customFormat="false" ht="13.8" hidden="false" customHeight="false" outlineLevel="0" collapsed="false">
      <c r="I46" s="37" t="n">
        <f aca="false">IF(($L$18-(1.4*($K$18-$I$11))-$J$11)&lt;0, 0, ($L$18-(1.4*($K$18-$I$11))-$J$11))</f>
        <v>1780.2</v>
      </c>
      <c r="J46" s="38" t="n">
        <f aca="false">IF(($M$18-(1.05*($K$18-$I$11))-$K$11)&lt;0, 0, ($M$18-(1.05*($K$18-$I$11))-$K$11))</f>
        <v>1916.65</v>
      </c>
      <c r="K46" s="38" t="n">
        <f aca="false">($L$26*(I46/J46)-6.3)*4096</f>
        <v>-50.4481075156291</v>
      </c>
      <c r="L46" s="38" t="n">
        <f aca="false">IF(K46&lt;0,65535+K46,K46)</f>
        <v>65484.5518924844</v>
      </c>
      <c r="M46" s="38" t="n">
        <f aca="false">IF(L46 &lt; $N$26,$N$26,L46)</f>
        <v>65484.5518924844</v>
      </c>
      <c r="N46" s="38" t="n">
        <f aca="false">IF(OR(I46&lt;$M$26,J46=0),(N45),((N45*3)+M46)/4)</f>
        <v>64662.8750403755</v>
      </c>
      <c r="O46" s="39" t="n">
        <f aca="false">IF((I46/$K$26)/(N46/4096)*100 &gt; 100, 100, (I46/$K$26)/(N46/4096)*100)</f>
        <v>4.31746967664319</v>
      </c>
      <c r="P46" s="40" t="n">
        <f aca="false">(IF(((O46/100)*(460)+50)&lt;510,((O46/100)*(460)+50),510))/100</f>
        <v>0.698603605125587</v>
      </c>
    </row>
    <row r="47" customFormat="false" ht="13.8" hidden="false" customHeight="false" outlineLevel="0" collapsed="false">
      <c r="I47" s="37" t="n">
        <f aca="false">IF(($L$18-(1.4*($K$18-$I$11))-$J$11)&lt;0, 0, ($L$18-(1.4*($K$18-$I$11))-$J$11))</f>
        <v>1780.2</v>
      </c>
      <c r="J47" s="38" t="n">
        <f aca="false">IF(($M$18-(1.05*($K$18-$I$11))-$K$11)&lt;0, 0, ($M$18-(1.05*($K$18-$I$11))-$K$11))</f>
        <v>1916.65</v>
      </c>
      <c r="K47" s="38" t="n">
        <f aca="false">($L$26*(I47/J47)-6.3)*4096</f>
        <v>-50.4481075156291</v>
      </c>
      <c r="L47" s="38" t="n">
        <f aca="false">IF(K47&lt;0,65535+K47,K47)</f>
        <v>65484.5518924844</v>
      </c>
      <c r="M47" s="38" t="n">
        <f aca="false">IF(L47 &lt; $N$26,$N$26,L47)</f>
        <v>65484.5518924844</v>
      </c>
      <c r="N47" s="38" t="n">
        <f aca="false">IF(OR(I47&lt;$M$26,J47=0),(N46),((N46*3)+M47)/4)</f>
        <v>64868.2942534027</v>
      </c>
      <c r="O47" s="39" t="n">
        <f aca="false">IF((I47/$K$26)/(N47/4096)*100 &gt; 100, 100, (I47/$K$26)/(N47/4096)*100)</f>
        <v>4.30379749312962</v>
      </c>
      <c r="P47" s="40" t="n">
        <f aca="false">(IF(((O47/100)*(460)+50)&lt;510,((O47/100)*(460)+50),510))/100</f>
        <v>0.697974684683963</v>
      </c>
    </row>
    <row r="48" customFormat="false" ht="13.8" hidden="false" customHeight="false" outlineLevel="0" collapsed="false">
      <c r="I48" s="37" t="n">
        <f aca="false">IF(($L$18-(1.4*($K$18-$I$11))-$J$11)&lt;0, 0, ($L$18-(1.4*($K$18-$I$11))-$J$11))</f>
        <v>1780.2</v>
      </c>
      <c r="J48" s="38" t="n">
        <f aca="false">IF(($M$18-(1.05*($K$18-$I$11))-$K$11)&lt;0, 0, ($M$18-(1.05*($K$18-$I$11))-$K$11))</f>
        <v>1916.65</v>
      </c>
      <c r="K48" s="38" t="n">
        <f aca="false">($L$26*(I48/J48)-6.3)*4096</f>
        <v>-50.4481075156291</v>
      </c>
      <c r="L48" s="38" t="n">
        <f aca="false">IF(K48&lt;0,65535+K48,K48)</f>
        <v>65484.5518924844</v>
      </c>
      <c r="M48" s="38" t="n">
        <f aca="false">IF(L48 &lt; $N$26,$N$26,L48)</f>
        <v>65484.5518924844</v>
      </c>
      <c r="N48" s="38" t="n">
        <f aca="false">IF(OR(I48&lt;$M$26,J48=0),(N47),((N47*3)+M48)/4)</f>
        <v>65022.3586631731</v>
      </c>
      <c r="O48" s="39" t="n">
        <f aca="false">IF((I48/$K$26)/(N48/4096)*100 &gt; 100, 100, (I48/$K$26)/(N48/4096)*100)</f>
        <v>4.29360004667916</v>
      </c>
      <c r="P48" s="40" t="n">
        <f aca="false">(IF(((O48/100)*(460)+50)&lt;510,((O48/100)*(460)+50),510))/100</f>
        <v>0.697505602147241</v>
      </c>
    </row>
    <row r="49" customFormat="false" ht="13.8" hidden="false" customHeight="false" outlineLevel="0" collapsed="false">
      <c r="I49" s="37" t="n">
        <f aca="false">IF(($L$18-(1.4*($K$18-$I$11))-$J$11)&lt;0, 0, ($L$18-(1.4*($K$18-$I$11))-$J$11))</f>
        <v>1780.2</v>
      </c>
      <c r="J49" s="38" t="n">
        <f aca="false">IF(($M$18-(1.05*($K$18-$I$11))-$K$11)&lt;0, 0, ($M$18-(1.05*($K$18-$I$11))-$K$11))</f>
        <v>1916.65</v>
      </c>
      <c r="K49" s="38" t="n">
        <f aca="false">($L$26*(I49/J49)-6.3)*4096</f>
        <v>-50.4481075156291</v>
      </c>
      <c r="L49" s="38" t="n">
        <f aca="false">IF(K49&lt;0,65535+K49,K49)</f>
        <v>65484.5518924844</v>
      </c>
      <c r="M49" s="38" t="n">
        <f aca="false">IF(L49 &lt; $N$26,$N$26,L49)</f>
        <v>65484.5518924844</v>
      </c>
      <c r="N49" s="38" t="n">
        <f aca="false">IF(OR(I49&lt;$M$26,J49=0),(N48),((N48*3)+M49)/4)</f>
        <v>65137.9069705009</v>
      </c>
      <c r="O49" s="39" t="n">
        <f aca="false">IF((I49/$K$26)/(N49/4096)*100 &gt; 100, 100, (I49/$K$26)/(N49/4096)*100)</f>
        <v>4.28598361807698</v>
      </c>
      <c r="P49" s="40" t="n">
        <f aca="false">(IF(((O49/100)*(460)+50)&lt;510,((O49/100)*(460)+50),510))/100</f>
        <v>0.697155246431541</v>
      </c>
    </row>
    <row r="50" customFormat="false" ht="13.8" hidden="false" customHeight="false" outlineLevel="0" collapsed="false">
      <c r="I50" s="37" t="n">
        <f aca="false">IF(($L$18-(1.4*($K$18-$I$11))-$J$11)&lt;0, 0, ($L$18-(1.4*($K$18-$I$11))-$J$11))</f>
        <v>1780.2</v>
      </c>
      <c r="J50" s="38" t="n">
        <f aca="false">IF(($M$18-(1.05*($K$18-$I$11))-$K$11)&lt;0, 0, ($M$18-(1.05*($K$18-$I$11))-$K$11))</f>
        <v>1916.65</v>
      </c>
      <c r="K50" s="38" t="n">
        <f aca="false">($L$26*(I50/J50)-6.3)*4096</f>
        <v>-50.4481075156291</v>
      </c>
      <c r="L50" s="38" t="n">
        <f aca="false">IF(K50&lt;0,65535+K50,K50)</f>
        <v>65484.5518924844</v>
      </c>
      <c r="M50" s="38" t="n">
        <f aca="false">IF(L50 &lt; $N$26,$N$26,L50)</f>
        <v>65484.5518924844</v>
      </c>
      <c r="N50" s="38" t="n">
        <f aca="false">IF(OR(I50&lt;$M$26,J50=0),(N49),((N49*3)+M50)/4)</f>
        <v>65224.5682009968</v>
      </c>
      <c r="O50" s="39" t="n">
        <f aca="false">IF((I50/$K$26)/(N50/4096)*100 &gt; 100, 100, (I50/$K$26)/(N50/4096)*100)</f>
        <v>4.28028900599334</v>
      </c>
      <c r="P50" s="40" t="n">
        <f aca="false">(IF(((O50/100)*(460)+50)&lt;510,((O50/100)*(460)+50),510))/100</f>
        <v>0.696893294275694</v>
      </c>
    </row>
    <row r="51" customFormat="false" ht="13.8" hidden="false" customHeight="false" outlineLevel="0" collapsed="false">
      <c r="I51" s="37" t="n">
        <f aca="false">IF(($L$18-(1.4*($K$18-$I$11))-$J$11)&lt;0, 0, ($L$18-(1.4*($K$18-$I$11))-$J$11))</f>
        <v>1780.2</v>
      </c>
      <c r="J51" s="38" t="n">
        <f aca="false">IF(($M$18-(1.05*($K$18-$I$11))-$K$11)&lt;0, 0, ($M$18-(1.05*($K$18-$I$11))-$K$11))</f>
        <v>1916.65</v>
      </c>
      <c r="K51" s="38" t="n">
        <f aca="false">($L$26*(I51/J51)-6.3)*4096</f>
        <v>-50.4481075156291</v>
      </c>
      <c r="L51" s="38" t="n">
        <f aca="false">IF(K51&lt;0,65535+K51,K51)</f>
        <v>65484.5518924844</v>
      </c>
      <c r="M51" s="38" t="n">
        <f aca="false">IF(L51 &lt; $N$26,$N$26,L51)</f>
        <v>65484.5518924844</v>
      </c>
      <c r="N51" s="38" t="n">
        <f aca="false">IF(OR(I51&lt;$M$26,J51=0),(N50),((N50*3)+M51)/4)</f>
        <v>65289.5641238687</v>
      </c>
      <c r="O51" s="39" t="n">
        <f aca="false">IF((I51/$K$26)/(N51/4096)*100 &gt; 100, 100, (I51/$K$26)/(N51/4096)*100)</f>
        <v>4.27602796768138</v>
      </c>
      <c r="P51" s="40" t="n">
        <f aca="false">(IF(((O51/100)*(460)+50)&lt;510,((O51/100)*(460)+50),510))/100</f>
        <v>0.696697286513343</v>
      </c>
    </row>
    <row r="52" customFormat="false" ht="13.8" hidden="false" customHeight="false" outlineLevel="0" collapsed="false">
      <c r="I52" s="37" t="n">
        <f aca="false">IF(($L$18-(1.4*($K$18-$I$11))-$J$11)&lt;0, 0, ($L$18-(1.4*($K$18-$I$11))-$J$11))</f>
        <v>1780.2</v>
      </c>
      <c r="J52" s="38" t="n">
        <f aca="false">IF(($M$18-(1.05*($K$18-$I$11))-$K$11)&lt;0, 0, ($M$18-(1.05*($K$18-$I$11))-$K$11))</f>
        <v>1916.65</v>
      </c>
      <c r="K52" s="38" t="n">
        <f aca="false">($L$26*(I52/J52)-6.3)*4096</f>
        <v>-50.4481075156291</v>
      </c>
      <c r="L52" s="38" t="n">
        <f aca="false">IF(K52&lt;0,65535+K52,K52)</f>
        <v>65484.5518924844</v>
      </c>
      <c r="M52" s="38" t="n">
        <f aca="false">IF(L52 &lt; $N$26,$N$26,L52)</f>
        <v>65484.5518924844</v>
      </c>
      <c r="N52" s="38" t="n">
        <f aca="false">IF(OR(I52&lt;$M$26,J52=0),(N51),((N51*3)+M52)/4)</f>
        <v>65338.3110660226</v>
      </c>
      <c r="O52" s="39" t="n">
        <f aca="false">IF((I52/$K$26)/(N52/4096)*100 &gt; 100, 100, (I52/$K$26)/(N52/4096)*100)</f>
        <v>4.27283775225358</v>
      </c>
      <c r="P52" s="40" t="n">
        <f aca="false">(IF(((O52/100)*(460)+50)&lt;510,((O52/100)*(460)+50),510))/100</f>
        <v>0.696550536603665</v>
      </c>
    </row>
    <row r="53" customFormat="false" ht="13.8" hidden="false" customHeight="false" outlineLevel="0" collapsed="false">
      <c r="I53" s="41" t="n">
        <f aca="false">IF(($L$18-(1.4*($K$18-$I$11))-$J$11)&lt;0, 0, ($L$18-(1.4*($K$18-$I$11))-$J$11))</f>
        <v>1780.2</v>
      </c>
      <c r="J53" s="42" t="n">
        <f aca="false">IF(($M$18-(1.05*($K$18-$I$11))-$K$11)&lt;0, 0, ($M$18-(1.05*($K$18-$I$11))-$K$11))</f>
        <v>1916.65</v>
      </c>
      <c r="K53" s="42" t="n">
        <f aca="false">($L$26*(I53/J53)-6.3)*4096</f>
        <v>-50.4481075156291</v>
      </c>
      <c r="L53" s="42" t="n">
        <f aca="false">IF(K53&lt;0,65535+K53,K53)</f>
        <v>65484.5518924844</v>
      </c>
      <c r="M53" s="42" t="n">
        <f aca="false">IF(L53 &lt; $N$26,$N$26,L53)</f>
        <v>65484.5518924844</v>
      </c>
      <c r="N53" s="38" t="n">
        <f aca="false">IF(OR(I53&lt;$M$26,J53=0),(N52),((N52*3)+M53)/4)</f>
        <v>65374.871272638</v>
      </c>
      <c r="O53" s="43" t="n">
        <f aca="false">IF((I53/$K$26)/(N53/4096)*100 &gt; 100, 100, (I53/$K$26)/(N53/4096)*100)</f>
        <v>4.27044821284776</v>
      </c>
      <c r="P53" s="44" t="n">
        <f aca="false">(IF(((O53/100)*(460)+50)&lt;510,((O53/100)*(460)+50),510))/100</f>
        <v>0.696440617790997</v>
      </c>
    </row>
    <row r="54" customFormat="false" ht="13.8" hidden="false" customHeight="false" outlineLevel="0" collapsed="false">
      <c r="I54" s="38"/>
      <c r="J54" s="38"/>
      <c r="K54" s="38"/>
      <c r="L54" s="38"/>
      <c r="M54" s="38"/>
      <c r="N54" s="38"/>
      <c r="O54" s="39"/>
      <c r="P54" s="39"/>
    </row>
    <row r="55" customFormat="false" ht="13.8" hidden="false" customHeight="false" outlineLevel="0" collapsed="false">
      <c r="I55" s="45"/>
      <c r="J55" s="45"/>
      <c r="K55" s="45"/>
      <c r="L55" s="45"/>
      <c r="M55" s="45"/>
      <c r="N55" s="45"/>
      <c r="O55" s="45"/>
      <c r="P55" s="45"/>
    </row>
    <row r="56" customFormat="false" ht="15" hidden="false" customHeight="true" outlineLevel="0" collapsed="false">
      <c r="J56" s="46" t="s">
        <v>114</v>
      </c>
      <c r="K56" s="46"/>
      <c r="L56" s="46"/>
      <c r="M56" s="46"/>
      <c r="N56" s="46"/>
      <c r="O56" s="46"/>
    </row>
    <row r="57" customFormat="false" ht="15" hidden="false" customHeight="true" outlineLevel="0" collapsed="false">
      <c r="J57" s="46"/>
      <c r="K57" s="46"/>
      <c r="L57" s="46"/>
      <c r="M57" s="46"/>
      <c r="N57" s="46"/>
      <c r="O57" s="46"/>
    </row>
    <row r="58" customFormat="false" ht="15" hidden="false" customHeight="true" outlineLevel="0" collapsed="false">
      <c r="J58" s="46"/>
      <c r="K58" s="46"/>
      <c r="L58" s="46"/>
      <c r="M58" s="46"/>
      <c r="N58" s="46"/>
      <c r="O58" s="46"/>
    </row>
    <row r="59" customFormat="false" ht="15" hidden="false" customHeight="true" outlineLevel="0" collapsed="false">
      <c r="J59" s="47"/>
      <c r="K59" s="47"/>
      <c r="L59" s="47"/>
      <c r="M59" s="47"/>
      <c r="N59" s="47"/>
      <c r="O59" s="47"/>
    </row>
  </sheetData>
  <mergeCells count="13">
    <mergeCell ref="B2:C2"/>
    <mergeCell ref="A3:B3"/>
    <mergeCell ref="C3:O3"/>
    <mergeCell ref="A5:B5"/>
    <mergeCell ref="C5:O6"/>
    <mergeCell ref="I9:P9"/>
    <mergeCell ref="K16:M16"/>
    <mergeCell ref="O16:P16"/>
    <mergeCell ref="I19:P21"/>
    <mergeCell ref="I23:P23"/>
    <mergeCell ref="I24:P24"/>
    <mergeCell ref="J28:O29"/>
    <mergeCell ref="J56:O58"/>
  </mergeCells>
  <hyperlinks>
    <hyperlink ref="N10" r:id="rId1" display="div@cal"/>
    <hyperlink ref="N25" r:id="rId2" display="div@cal *0.9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3" activeCellId="0" sqref="C23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8" min="8" style="0" width="14.01"/>
    <col collapsed="false" customWidth="true" hidden="false" outlineLevel="0" max="9" min="9" style="0" width="15.42"/>
    <col collapsed="false" customWidth="true" hidden="false" outlineLevel="0" max="10" min="10" style="0" width="15.15"/>
    <col collapsed="false" customWidth="true" hidden="false" outlineLevel="0" max="11" min="11" style="0" width="19.71"/>
    <col collapsed="false" customWidth="true" hidden="false" outlineLevel="0" max="12" min="12" style="0" width="18.71"/>
    <col collapsed="false" customWidth="true" hidden="false" outlineLevel="0" max="13" min="13" style="0" width="20.86"/>
    <col collapsed="false" customWidth="true" hidden="false" outlineLevel="0" max="14" min="14" style="0" width="13.14"/>
    <col collapsed="false" customWidth="true" hidden="false" outlineLevel="0" max="15" min="15" style="0" width="16.41"/>
    <col collapsed="false" customWidth="true" hidden="false" outlineLevel="0" max="16" min="16" style="0" width="17.29"/>
  </cols>
  <sheetData>
    <row r="2" customFormat="false" ht="13.8" hidden="false" customHeight="false" outlineLevel="0" collapsed="false">
      <c r="A2" s="74" t="s">
        <v>0</v>
      </c>
      <c r="B2" s="2" t="n">
        <v>43939</v>
      </c>
      <c r="C2" s="2"/>
    </row>
    <row r="3" customFormat="false" ht="15" hidden="false" customHeight="true" outlineLevel="0" collapsed="false">
      <c r="A3" s="3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3.8" hidden="false" customHeight="false" outlineLevel="0" collapsed="false">
      <c r="A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customFormat="false" ht="13.5" hidden="false" customHeight="true" outlineLevel="0" collapsed="false">
      <c r="A5" s="9" t="s">
        <v>3</v>
      </c>
      <c r="B5" s="9"/>
      <c r="C5" s="4" t="s">
        <v>89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3.8" hidden="false" customHeight="false" outlineLevel="0" collapsed="false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8" customFormat="false" ht="19.7" hidden="false" customHeight="false" outlineLevel="0" collapsed="false">
      <c r="C8" s="11" t="s">
        <v>5</v>
      </c>
    </row>
    <row r="9" customFormat="false" ht="13.5" hidden="false" customHeight="true" outlineLevel="0" collapsed="false">
      <c r="I9" s="12" t="s">
        <v>6</v>
      </c>
      <c r="J9" s="12"/>
      <c r="K9" s="12"/>
      <c r="L9" s="12"/>
      <c r="M9" s="12"/>
      <c r="N9" s="12"/>
      <c r="O9" s="12"/>
      <c r="P9" s="12"/>
    </row>
    <row r="10" customFormat="false" ht="21" hidden="false" customHeight="true" outlineLevel="0" collapsed="false"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4" t="s">
        <v>12</v>
      </c>
      <c r="O10" s="15" t="s">
        <v>24</v>
      </c>
      <c r="P10" s="15"/>
    </row>
    <row r="11" customFormat="false" ht="13.8" hidden="false" customHeight="false" outlineLevel="0" collapsed="false">
      <c r="I11" s="24" t="n">
        <v>9576</v>
      </c>
      <c r="J11" s="24" t="n">
        <v>14727</v>
      </c>
      <c r="K11" s="24" t="n">
        <v>15764</v>
      </c>
      <c r="L11" s="24" t="n">
        <v>17355</v>
      </c>
      <c r="M11" s="24" t="n">
        <v>18199</v>
      </c>
      <c r="N11" s="15" t="n">
        <f aca="false">O11*((L11-J11)/(M11-K11))-6.3</f>
        <v>1.00619214484186</v>
      </c>
      <c r="O11" s="15" t="n">
        <f aca="false">14.4-(7.07*((L11-J11)/(M11-K11)))</f>
        <v>6.76962628336756</v>
      </c>
      <c r="P11" s="15"/>
    </row>
    <row r="12" customFormat="false" ht="13.8" hidden="false" customHeight="false" outlineLevel="0" collapsed="false">
      <c r="H12" s="75" t="s">
        <v>90</v>
      </c>
      <c r="I12" s="76" t="n">
        <v>9930</v>
      </c>
      <c r="J12" s="76" t="n">
        <f aca="false">16697 - 12</f>
        <v>16685</v>
      </c>
      <c r="K12" s="76" t="n">
        <f aca="false">15563-2</f>
        <v>15561</v>
      </c>
      <c r="L12" s="76" t="n">
        <v>19333</v>
      </c>
      <c r="M12" s="76" t="n">
        <v>18499</v>
      </c>
      <c r="N12" s="24"/>
    </row>
    <row r="13" customFormat="false" ht="13.8" hidden="false" customHeight="false" outlineLevel="0" collapsed="false">
      <c r="H13" s="75" t="s">
        <v>91</v>
      </c>
      <c r="I13" s="76" t="n">
        <v>9861</v>
      </c>
      <c r="J13" s="76" t="n">
        <v>16604</v>
      </c>
      <c r="K13" s="76" t="n">
        <v>15493</v>
      </c>
      <c r="L13" s="76" t="n">
        <v>19289</v>
      </c>
      <c r="M13" s="76" t="n">
        <v>18467</v>
      </c>
    </row>
    <row r="15" customFormat="false" ht="13.8" hidden="false" customHeight="false" outlineLevel="0" collapsed="false">
      <c r="O15" s="0" t="s">
        <v>92</v>
      </c>
    </row>
    <row r="16" customFormat="false" ht="19.7" hidden="false" customHeight="false" outlineLevel="0" collapsed="false">
      <c r="B16" s="11" t="s">
        <v>13</v>
      </c>
      <c r="K16" s="16" t="s">
        <v>14</v>
      </c>
      <c r="L16" s="16"/>
      <c r="M16" s="16"/>
      <c r="O16" s="77" t="s">
        <v>93</v>
      </c>
      <c r="P16" s="77"/>
    </row>
    <row r="17" customFormat="false" ht="25" hidden="false" customHeight="false" outlineLevel="0" collapsed="false">
      <c r="B17" s="11"/>
      <c r="K17" s="13" t="s">
        <v>15</v>
      </c>
      <c r="L17" s="13" t="s">
        <v>16</v>
      </c>
      <c r="M17" s="13" t="s">
        <v>17</v>
      </c>
      <c r="O17" s="78" t="s">
        <v>94</v>
      </c>
      <c r="P17" s="78" t="s">
        <v>95</v>
      </c>
    </row>
    <row r="18" customFormat="false" ht="19.7" hidden="false" customHeight="false" outlineLevel="0" collapsed="false">
      <c r="B18" s="11"/>
      <c r="K18" s="24" t="n">
        <v>9603</v>
      </c>
      <c r="L18" s="24" t="n">
        <v>16545</v>
      </c>
      <c r="M18" s="24" t="n">
        <v>17709</v>
      </c>
      <c r="O18" s="79" t="n">
        <f aca="false">(L18-J11)/(L11-J11)</f>
        <v>0.691780821917808</v>
      </c>
      <c r="P18" s="79" t="n">
        <f aca="false">(N53/4096)/N11</f>
        <v>0.97</v>
      </c>
    </row>
    <row r="19" customFormat="false" ht="19.5" hidden="false" customHeight="true" outlineLevel="0" collapsed="false">
      <c r="B19" s="11"/>
      <c r="I19" s="17" t="s">
        <v>96</v>
      </c>
      <c r="J19" s="17"/>
      <c r="K19" s="17"/>
      <c r="L19" s="17"/>
      <c r="M19" s="17"/>
      <c r="N19" s="17"/>
      <c r="O19" s="17"/>
      <c r="P19" s="17"/>
    </row>
    <row r="20" customFormat="false" ht="21" hidden="false" customHeight="true" outlineLevel="0" collapsed="false">
      <c r="B20" s="11"/>
      <c r="I20" s="17"/>
      <c r="J20" s="17"/>
      <c r="K20" s="17"/>
      <c r="L20" s="17"/>
      <c r="M20" s="17"/>
      <c r="N20" s="17"/>
      <c r="O20" s="17"/>
      <c r="P20" s="17"/>
    </row>
    <row r="21" customFormat="false" ht="19.7" hidden="false" customHeight="false" outlineLevel="0" collapsed="false">
      <c r="B21" s="11"/>
      <c r="I21" s="17"/>
      <c r="J21" s="17"/>
      <c r="K21" s="17"/>
      <c r="L21" s="17"/>
      <c r="M21" s="17"/>
      <c r="N21" s="17"/>
      <c r="O21" s="17"/>
      <c r="P21" s="17"/>
    </row>
    <row r="22" customFormat="false" ht="19.7" hidden="false" customHeight="false" outlineLevel="0" collapsed="false">
      <c r="B22" s="11"/>
      <c r="L22" s="18"/>
      <c r="M22" s="18"/>
      <c r="N22" s="18"/>
      <c r="O22" s="18"/>
      <c r="P22" s="18"/>
    </row>
    <row r="23" customFormat="false" ht="19.5" hidden="false" customHeight="true" outlineLevel="0" collapsed="false">
      <c r="B23" s="11"/>
      <c r="I23" s="19" t="s">
        <v>19</v>
      </c>
      <c r="J23" s="19"/>
      <c r="K23" s="19"/>
      <c r="L23" s="19"/>
      <c r="M23" s="19"/>
      <c r="N23" s="19"/>
      <c r="O23" s="19"/>
      <c r="P23" s="19"/>
    </row>
    <row r="24" customFormat="false" ht="13.5" hidden="false" customHeight="true" outlineLevel="0" collapsed="false">
      <c r="I24" s="12" t="s">
        <v>20</v>
      </c>
      <c r="J24" s="12"/>
      <c r="K24" s="12"/>
      <c r="L24" s="12"/>
      <c r="M24" s="12"/>
      <c r="N24" s="12"/>
      <c r="O24" s="12"/>
      <c r="P24" s="12"/>
    </row>
    <row r="25" customFormat="false" ht="15.75" hidden="false" customHeight="true" outlineLevel="0" collapsed="false">
      <c r="I25" s="20" t="s">
        <v>21</v>
      </c>
      <c r="J25" s="20" t="s">
        <v>22</v>
      </c>
      <c r="K25" s="20" t="s">
        <v>23</v>
      </c>
      <c r="L25" s="20" t="s">
        <v>24</v>
      </c>
      <c r="M25" s="20" t="s">
        <v>25</v>
      </c>
      <c r="N25" s="21" t="s">
        <v>26</v>
      </c>
      <c r="O25" s="22"/>
      <c r="P25" s="23"/>
    </row>
    <row r="26" customFormat="false" ht="15.75" hidden="false" customHeight="true" outlineLevel="0" collapsed="false">
      <c r="I26" s="24" t="n">
        <f aca="false">$L$11-$J$11</f>
        <v>2628</v>
      </c>
      <c r="J26" s="24" t="n">
        <f aca="false">$M$11-$K$11</f>
        <v>2435</v>
      </c>
      <c r="K26" s="25" t="n">
        <f aca="false">I26/$N$11</f>
        <v>2611.82718775152</v>
      </c>
      <c r="L26" s="26" t="n">
        <f aca="false">14.4-(7.07*(I26/J26))</f>
        <v>6.76962628336756</v>
      </c>
      <c r="M26" s="24" t="n">
        <f aca="false">0.2*I26</f>
        <v>525.6</v>
      </c>
      <c r="N26" s="27" t="n">
        <f aca="false">0.97*$N$11*4096</f>
        <v>3997.72213451411</v>
      </c>
      <c r="O26" s="28"/>
      <c r="P26" s="24"/>
    </row>
    <row r="27" customFormat="false" ht="15.75" hidden="false" customHeight="true" outlineLevel="0" collapsed="false">
      <c r="I27" s="29"/>
      <c r="J27" s="29"/>
      <c r="K27" s="29"/>
    </row>
    <row r="28" customFormat="false" ht="15.75" hidden="false" customHeight="true" outlineLevel="0" collapsed="false">
      <c r="J28" s="30" t="s">
        <v>27</v>
      </c>
      <c r="K28" s="30"/>
      <c r="L28" s="30"/>
      <c r="M28" s="30"/>
      <c r="N28" s="30"/>
      <c r="O28" s="30"/>
    </row>
    <row r="29" customFormat="false" ht="15" hidden="false" customHeight="true" outlineLevel="0" collapsed="false">
      <c r="B29" s="5" t="s">
        <v>97</v>
      </c>
      <c r="J29" s="30"/>
      <c r="K29" s="30"/>
      <c r="L29" s="30"/>
      <c r="M29" s="30"/>
      <c r="N29" s="30"/>
      <c r="O29" s="30"/>
    </row>
    <row r="30" customFormat="false" ht="25" hidden="false" customHeight="false" outlineLevel="0" collapsed="false">
      <c r="I30" s="31" t="s">
        <v>28</v>
      </c>
      <c r="J30" s="31" t="s">
        <v>29</v>
      </c>
      <c r="K30" s="32" t="s">
        <v>30</v>
      </c>
      <c r="L30" s="32" t="s">
        <v>31</v>
      </c>
      <c r="M30" s="32" t="s">
        <v>32</v>
      </c>
      <c r="N30" s="31" t="s">
        <v>33</v>
      </c>
      <c r="O30" s="31" t="s">
        <v>34</v>
      </c>
      <c r="P30" s="31" t="s">
        <v>35</v>
      </c>
    </row>
    <row r="31" customFormat="false" ht="13.8" hidden="false" customHeight="false" outlineLevel="0" collapsed="false">
      <c r="A31" s="0" t="s">
        <v>98</v>
      </c>
      <c r="C31" s="0" t="s">
        <v>99</v>
      </c>
      <c r="I31" s="33"/>
      <c r="J31" s="34"/>
      <c r="K31" s="34"/>
      <c r="L31" s="34"/>
      <c r="M31" s="34"/>
      <c r="N31" s="34" t="n">
        <f aca="false">N26</f>
        <v>3997.72213451411</v>
      </c>
      <c r="O31" s="35"/>
      <c r="P31" s="36"/>
    </row>
    <row r="32" customFormat="false" ht="13.8" hidden="false" customHeight="false" outlineLevel="0" collapsed="false">
      <c r="A32" s="0" t="s">
        <v>100</v>
      </c>
      <c r="C32" s="0" t="s">
        <v>101</v>
      </c>
      <c r="I32" s="37" t="n">
        <f aca="false">IF(($L$18-(1.4*($K$18-$I$11))-$J$11)&lt;0, 0, ($L$18-(1.4*($K$18-$I$11))-$J$11))</f>
        <v>1780.2</v>
      </c>
      <c r="J32" s="38" t="n">
        <f aca="false">IF(($M$18-(1.05*($K$18-$I$11))-$K$11)&lt;0, 0, ($M$18-(1.05*($K$18-$I$11))-$K$11))</f>
        <v>1916.65</v>
      </c>
      <c r="K32" s="38" t="n">
        <f aca="false">($L$26*(I32/J32)-6.3)*4096</f>
        <v>-50.4481075156291</v>
      </c>
      <c r="L32" s="38" t="n">
        <f aca="false">IF(K32&lt;0,$N$26,K32)</f>
        <v>3997.72213451411</v>
      </c>
      <c r="M32" s="38" t="n">
        <f aca="false">IF(L32 &lt; $N$26,$N$26,L32)</f>
        <v>3997.72213451411</v>
      </c>
      <c r="N32" s="38" t="n">
        <f aca="false">IF(OR(I32&lt;$M$26,J32=0),(N31),((N31*3)+M32)/4)</f>
        <v>3997.72213451411</v>
      </c>
      <c r="O32" s="39" t="n">
        <f aca="false">IF((I32/$K$26)/(N32/4096)*100 &gt; 100, 100, (I32/$K$26)/(N32/4096)*100)</f>
        <v>69.8347691004096</v>
      </c>
      <c r="P32" s="40" t="n">
        <f aca="false">(IF(((O32/100)*(460)+50)&lt;510,((O32/100)*(460)+50),510))/100</f>
        <v>3.71239937861884</v>
      </c>
    </row>
    <row r="33" customFormat="false" ht="13.8" hidden="false" customHeight="false" outlineLevel="0" collapsed="false">
      <c r="A33" s="0" t="s">
        <v>102</v>
      </c>
      <c r="C33" s="0" t="s">
        <v>103</v>
      </c>
      <c r="I33" s="37" t="n">
        <f aca="false">IF(($L$18-(1.4*($K$18-$I$11))-$J$11)&lt;0, 0, ($L$18-(1.4*($K$18-$I$11))-$J$11))</f>
        <v>1780.2</v>
      </c>
      <c r="J33" s="38" t="n">
        <f aca="false">IF(($M$18-(1.05*($K$18-$I$11))-$K$11)&lt;0, 0, ($M$18-(1.05*($K$18-$I$11))-$K$11))</f>
        <v>1916.65</v>
      </c>
      <c r="K33" s="38" t="n">
        <f aca="false">($L$26*(I33/J33)-6.3)*4096</f>
        <v>-50.4481075156291</v>
      </c>
      <c r="L33" s="38" t="n">
        <f aca="false">IF(K33&lt;0,$N$26,K33)</f>
        <v>3997.72213451411</v>
      </c>
      <c r="M33" s="38" t="n">
        <f aca="false">IF(L33 &lt; $N$26,$N$26,L33)</f>
        <v>3997.72213451411</v>
      </c>
      <c r="N33" s="38" t="n">
        <f aca="false">IF(OR(I33&lt;$M$26,J33=0),(N32),((N32*3)+M33)/4)</f>
        <v>3997.72213451411</v>
      </c>
      <c r="O33" s="39" t="n">
        <f aca="false">IF((I33/$K$26)/(N33/4096)*100 &gt; 100, 100, (I33/$K$26)/(N33/4096)*100)</f>
        <v>69.8347691004096</v>
      </c>
      <c r="P33" s="40" t="n">
        <f aca="false">(IF(((O33/100)*(460)+50)&lt;510,((O33/100)*(460)+50),510))/100</f>
        <v>3.71239937861884</v>
      </c>
    </row>
    <row r="34" customFormat="false" ht="13.8" hidden="false" customHeight="false" outlineLevel="0" collapsed="false">
      <c r="A34" s="0" t="s">
        <v>104</v>
      </c>
      <c r="B34" s="0" t="s">
        <v>105</v>
      </c>
      <c r="I34" s="37" t="n">
        <f aca="false">IF(($L$18-(1.4*($K$18-$I$11))-$J$11)&lt;0, 0, ($L$18-(1.4*($K$18-$I$11))-$J$11))</f>
        <v>1780.2</v>
      </c>
      <c r="J34" s="38" t="n">
        <f aca="false">IF(($M$18-(1.05*($K$18-$I$11))-$K$11)&lt;0, 0, ($M$18-(1.05*($K$18-$I$11))-$K$11))</f>
        <v>1916.65</v>
      </c>
      <c r="K34" s="38" t="n">
        <f aca="false">($L$26*(I34/J34)-6.3)*4096</f>
        <v>-50.4481075156291</v>
      </c>
      <c r="L34" s="38" t="n">
        <f aca="false">IF(K34&lt;0,$N$26,K34)</f>
        <v>3997.72213451411</v>
      </c>
      <c r="M34" s="38" t="n">
        <f aca="false">IF(L34 &lt; $N$26,$N$26,L34)</f>
        <v>3997.72213451411</v>
      </c>
      <c r="N34" s="38" t="n">
        <f aca="false">IF(OR(I34&lt;$M$26,J34=0),(N33),((N33*3)+M34)/4)</f>
        <v>3997.72213451411</v>
      </c>
      <c r="O34" s="39" t="n">
        <f aca="false">IF((I34/$K$26)/(N34/4096)*100 &gt; 100, 100, (I34/$K$26)/(N34/4096)*100)</f>
        <v>69.8347691004096</v>
      </c>
      <c r="P34" s="40" t="n">
        <f aca="false">(IF(((O34/100)*(460)+50)&lt;510,((O34/100)*(460)+50),510))/100</f>
        <v>3.71239937861884</v>
      </c>
    </row>
    <row r="35" customFormat="false" ht="13.8" hidden="false" customHeight="false" outlineLevel="0" collapsed="false">
      <c r="I35" s="37" t="n">
        <f aca="false">IF(($L$18-(1.4*($K$18-$I$11))-$J$11)&lt;0, 0, ($L$18-(1.4*($K$18-$I$11))-$J$11))</f>
        <v>1780.2</v>
      </c>
      <c r="J35" s="38" t="n">
        <f aca="false">IF(($M$18-(1.05*($K$18-$I$11))-$K$11)&lt;0, 0, ($M$18-(1.05*($K$18-$I$11))-$K$11))</f>
        <v>1916.65</v>
      </c>
      <c r="K35" s="38" t="n">
        <f aca="false">($L$26*(I35/J35)-6.3)*4096</f>
        <v>-50.4481075156291</v>
      </c>
      <c r="L35" s="38" t="n">
        <f aca="false">IF(K35&lt;0,$N$26,K35)</f>
        <v>3997.72213451411</v>
      </c>
      <c r="M35" s="38" t="n">
        <f aca="false">IF(L35 &lt; $N$26,$N$26,L35)</f>
        <v>3997.72213451411</v>
      </c>
      <c r="N35" s="38" t="n">
        <f aca="false">IF(OR(I35&lt;$M$26,J35=0),(N34),((N34*3)+M35)/4)</f>
        <v>3997.72213451411</v>
      </c>
      <c r="O35" s="39" t="n">
        <f aca="false">IF((I35/$K$26)/(N35/4096)*100 &gt; 100, 100, (I35/$K$26)/(N35/4096)*100)</f>
        <v>69.8347691004096</v>
      </c>
      <c r="P35" s="40" t="n">
        <f aca="false">(IF(((O35/100)*(460)+50)&lt;510,((O35/100)*(460)+50),510))/100</f>
        <v>3.71239937861884</v>
      </c>
    </row>
    <row r="36" customFormat="false" ht="13.8" hidden="false" customHeight="false" outlineLevel="0" collapsed="false">
      <c r="A36" s="0" t="s">
        <v>106</v>
      </c>
      <c r="B36" s="0" t="s">
        <v>107</v>
      </c>
      <c r="I36" s="37" t="n">
        <f aca="false">IF(($L$18-(1.4*($K$18-$I$11))-$J$11)&lt;0, 0, ($L$18-(1.4*($K$18-$I$11))-$J$11))</f>
        <v>1780.2</v>
      </c>
      <c r="J36" s="38" t="n">
        <f aca="false">IF(($M$18-(1.05*($K$18-$I$11))-$K$11)&lt;0, 0, ($M$18-(1.05*($K$18-$I$11))-$K$11))</f>
        <v>1916.65</v>
      </c>
      <c r="K36" s="38" t="n">
        <f aca="false">($L$26*(I36/J36)-6.3)*4096</f>
        <v>-50.4481075156291</v>
      </c>
      <c r="L36" s="38" t="n">
        <f aca="false">IF(K36&lt;0,$N$26,K36)</f>
        <v>3997.72213451411</v>
      </c>
      <c r="M36" s="38" t="n">
        <f aca="false">IF(L36 &lt; $N$26,$N$26,L36)</f>
        <v>3997.72213451411</v>
      </c>
      <c r="N36" s="38" t="n">
        <f aca="false">IF(OR(I36&lt;$M$26,J36=0),(N35),((N35*3)+M36)/4)</f>
        <v>3997.72213451411</v>
      </c>
      <c r="O36" s="39" t="n">
        <f aca="false">IF((I36/$K$26)/(N36/4096)*100 &gt; 100, 100, (I36/$K$26)/(N36/4096)*100)</f>
        <v>69.8347691004096</v>
      </c>
      <c r="P36" s="40" t="n">
        <f aca="false">(IF(((O36/100)*(460)+50)&lt;510,((O36/100)*(460)+50),510))/100</f>
        <v>3.71239937861884</v>
      </c>
    </row>
    <row r="37" customFormat="false" ht="13.8" hidden="false" customHeight="false" outlineLevel="0" collapsed="false">
      <c r="A37" s="0" t="s">
        <v>108</v>
      </c>
      <c r="B37" s="0" t="s">
        <v>109</v>
      </c>
      <c r="I37" s="37" t="n">
        <f aca="false">IF(($L$18-(1.4*($K$18-$I$11))-$J$11)&lt;0, 0, ($L$18-(1.4*($K$18-$I$11))-$J$11))</f>
        <v>1780.2</v>
      </c>
      <c r="J37" s="38" t="n">
        <f aca="false">IF(($M$18-(1.05*($K$18-$I$11))-$K$11)&lt;0, 0, ($M$18-(1.05*($K$18-$I$11))-$K$11))</f>
        <v>1916.65</v>
      </c>
      <c r="K37" s="38" t="n">
        <f aca="false">($L$26*(I37/J37)-6.3)*4096</f>
        <v>-50.4481075156291</v>
      </c>
      <c r="L37" s="38" t="n">
        <f aca="false">IF(K37&lt;0,$N$26,K37)</f>
        <v>3997.72213451411</v>
      </c>
      <c r="M37" s="38" t="n">
        <f aca="false">IF(L37 &lt; $N$26,$N$26,L37)</f>
        <v>3997.72213451411</v>
      </c>
      <c r="N37" s="38" t="n">
        <f aca="false">IF(OR(I37&lt;$M$26,J37=0),(N36),((N36*3)+M37)/4)</f>
        <v>3997.72213451411</v>
      </c>
      <c r="O37" s="39" t="n">
        <f aca="false">IF((I37/$K$26)/(N37/4096)*100 &gt; 100, 100, (I37/$K$26)/(N37/4096)*100)</f>
        <v>69.8347691004096</v>
      </c>
      <c r="P37" s="40" t="n">
        <f aca="false">(IF(((O37/100)*(460)+50)&lt;510,((O37/100)*(460)+50),510))/100</f>
        <v>3.71239937861884</v>
      </c>
    </row>
    <row r="38" customFormat="false" ht="13.8" hidden="false" customHeight="false" outlineLevel="0" collapsed="false">
      <c r="I38" s="37" t="n">
        <f aca="false">IF(($L$18-(1.4*($K$18-$I$11))-$J$11)&lt;0, 0, ($L$18-(1.4*($K$18-$I$11))-$J$11))</f>
        <v>1780.2</v>
      </c>
      <c r="J38" s="38" t="n">
        <f aca="false">IF(($M$18-(1.05*($K$18-$I$11))-$K$11)&lt;0, 0, ($M$18-(1.05*($K$18-$I$11))-$K$11))</f>
        <v>1916.65</v>
      </c>
      <c r="K38" s="38" t="n">
        <f aca="false">($L$26*(I38/J38)-6.3)*4096</f>
        <v>-50.4481075156291</v>
      </c>
      <c r="L38" s="38" t="n">
        <f aca="false">IF(K38&lt;0,$N$26,K38)</f>
        <v>3997.72213451411</v>
      </c>
      <c r="M38" s="38" t="n">
        <f aca="false">IF(L38 &lt; $N$26,$N$26,L38)</f>
        <v>3997.72213451411</v>
      </c>
      <c r="N38" s="38" t="n">
        <f aca="false">IF(OR(I38&lt;$M$26,J38=0),(N37),((N37*3)+M38)/4)</f>
        <v>3997.72213451411</v>
      </c>
      <c r="O38" s="39" t="n">
        <f aca="false">IF((I38/$K$26)/(N38/4096)*100 &gt; 100, 100, (I38/$K$26)/(N38/4096)*100)</f>
        <v>69.8347691004096</v>
      </c>
      <c r="P38" s="40" t="n">
        <f aca="false">(IF(((O38/100)*(460)+50)&lt;510,((O38/100)*(460)+50),510))/100</f>
        <v>3.71239937861884</v>
      </c>
    </row>
    <row r="39" customFormat="false" ht="13.8" hidden="false" customHeight="false" outlineLevel="0" collapsed="false">
      <c r="A39" s="0" t="s">
        <v>110</v>
      </c>
      <c r="B39" s="0" t="s">
        <v>111</v>
      </c>
      <c r="I39" s="37" t="n">
        <f aca="false">IF(($L$18-(1.4*($K$18-$I$11))-$J$11)&lt;0, 0, ($L$18-(1.4*($K$18-$I$11))-$J$11))</f>
        <v>1780.2</v>
      </c>
      <c r="J39" s="38" t="n">
        <f aca="false">IF(($M$18-(1.05*($K$18-$I$11))-$K$11)&lt;0, 0, ($M$18-(1.05*($K$18-$I$11))-$K$11))</f>
        <v>1916.65</v>
      </c>
      <c r="K39" s="38" t="n">
        <f aca="false">($L$26*(I39/J39)-6.3)*4096</f>
        <v>-50.4481075156291</v>
      </c>
      <c r="L39" s="38" t="n">
        <f aca="false">IF(K39&lt;0,$N$26,K39)</f>
        <v>3997.72213451411</v>
      </c>
      <c r="M39" s="38" t="n">
        <f aca="false">IF(L39 &lt; $N$26,$N$26,L39)</f>
        <v>3997.72213451411</v>
      </c>
      <c r="N39" s="38" t="n">
        <f aca="false">IF(OR(I39&lt;$M$26,J39=0),(N38),((N38*3)+M39)/4)</f>
        <v>3997.72213451411</v>
      </c>
      <c r="O39" s="39" t="n">
        <f aca="false">IF((I39/$K$26)/(N39/4096)*100 &gt; 100, 100, (I39/$K$26)/(N39/4096)*100)</f>
        <v>69.8347691004096</v>
      </c>
      <c r="P39" s="40" t="n">
        <f aca="false">(IF(((O39/100)*(460)+50)&lt;510,((O39/100)*(460)+50),510))/100</f>
        <v>3.71239937861884</v>
      </c>
    </row>
    <row r="40" customFormat="false" ht="13.8" hidden="false" customHeight="false" outlineLevel="0" collapsed="false">
      <c r="I40" s="37" t="n">
        <f aca="false">IF(($L$18-(1.4*($K$18-$I$11))-$J$11)&lt;0, 0, ($L$18-(1.4*($K$18-$I$11))-$J$11))</f>
        <v>1780.2</v>
      </c>
      <c r="J40" s="38" t="n">
        <f aca="false">IF(($M$18-(1.05*($K$18-$I$11))-$K$11)&lt;0, 0, ($M$18-(1.05*($K$18-$I$11))-$K$11))</f>
        <v>1916.65</v>
      </c>
      <c r="K40" s="38" t="n">
        <f aca="false">($L$26*(I40/J40)-6.3)*4096</f>
        <v>-50.4481075156291</v>
      </c>
      <c r="L40" s="38" t="n">
        <f aca="false">IF(K40&lt;0,$N$26,K40)</f>
        <v>3997.72213451411</v>
      </c>
      <c r="M40" s="38" t="n">
        <f aca="false">IF(L40 &lt; $N$26,$N$26,L40)</f>
        <v>3997.72213451411</v>
      </c>
      <c r="N40" s="38" t="n">
        <f aca="false">IF(OR(I40&lt;$M$26,J40=0),(N39),((N39*3)+M40)/4)</f>
        <v>3997.72213451411</v>
      </c>
      <c r="O40" s="39" t="n">
        <f aca="false">IF((I40/$K$26)/(N40/4096)*100 &gt; 100, 100, (I40/$K$26)/(N40/4096)*100)</f>
        <v>69.8347691004096</v>
      </c>
      <c r="P40" s="40" t="n">
        <f aca="false">(IF(((O40/100)*(460)+50)&lt;510,((O40/100)*(460)+50),510))/100</f>
        <v>3.71239937861884</v>
      </c>
    </row>
    <row r="41" customFormat="false" ht="13.8" hidden="false" customHeight="false" outlineLevel="0" collapsed="false">
      <c r="A41" s="0" t="s">
        <v>112</v>
      </c>
      <c r="B41" s="0" t="s">
        <v>113</v>
      </c>
      <c r="F41" s="29"/>
      <c r="G41" s="29"/>
      <c r="I41" s="37" t="n">
        <f aca="false">IF(($L$18-(1.4*($K$18-$I$11))-$J$11)&lt;0, 0, ($L$18-(1.4*($K$18-$I$11))-$J$11))</f>
        <v>1780.2</v>
      </c>
      <c r="J41" s="38" t="n">
        <f aca="false">IF(($M$18-(1.05*($K$18-$I$11))-$K$11)&lt;0, 0, ($M$18-(1.05*($K$18-$I$11))-$K$11))</f>
        <v>1916.65</v>
      </c>
      <c r="K41" s="38" t="n">
        <f aca="false">($L$26*(I41/J41)-6.3)*4096</f>
        <v>-50.4481075156291</v>
      </c>
      <c r="L41" s="38" t="n">
        <f aca="false">IF(K41&lt;0,$N$26,K41)</f>
        <v>3997.72213451411</v>
      </c>
      <c r="M41" s="38" t="n">
        <f aca="false">IF(L41 &lt; $N$26,$N$26,L41)</f>
        <v>3997.72213451411</v>
      </c>
      <c r="N41" s="38" t="n">
        <f aca="false">IF(OR(I41&lt;$M$26,J41=0),(N40),((N40*3)+M41)/4)</f>
        <v>3997.72213451411</v>
      </c>
      <c r="O41" s="39" t="n">
        <f aca="false">IF((I41/$K$26)/(N41/4096)*100 &gt; 100, 100, (I41/$K$26)/(N41/4096)*100)</f>
        <v>69.8347691004096</v>
      </c>
      <c r="P41" s="40" t="n">
        <f aca="false">(IF(((O41/100)*(460)+50)&lt;510,((O41/100)*(460)+50),510))/100</f>
        <v>3.71239937861884</v>
      </c>
    </row>
    <row r="42" customFormat="false" ht="13.8" hidden="false" customHeight="false" outlineLevel="0" collapsed="false">
      <c r="I42" s="37" t="n">
        <f aca="false">IF(($L$18-(1.4*($K$18-$I$11))-$J$11)&lt;0, 0, ($L$18-(1.4*($K$18-$I$11))-$J$11))</f>
        <v>1780.2</v>
      </c>
      <c r="J42" s="38" t="n">
        <f aca="false">IF(($M$18-(1.05*($K$18-$I$11))-$K$11)&lt;0, 0, ($M$18-(1.05*($K$18-$I$11))-$K$11))</f>
        <v>1916.65</v>
      </c>
      <c r="K42" s="38" t="n">
        <f aca="false">($L$26*(I42/J42)-6.3)*4096</f>
        <v>-50.4481075156291</v>
      </c>
      <c r="L42" s="38" t="n">
        <f aca="false">IF(K42&lt;0,$N$26,K42)</f>
        <v>3997.72213451411</v>
      </c>
      <c r="M42" s="38" t="n">
        <f aca="false">IF(L42 &lt; $N$26,$N$26,L42)</f>
        <v>3997.72213451411</v>
      </c>
      <c r="N42" s="38" t="n">
        <f aca="false">IF(OR(I42&lt;$M$26,J42=0),(N41),((N41*3)+M42)/4)</f>
        <v>3997.72213451411</v>
      </c>
      <c r="O42" s="39" t="n">
        <f aca="false">IF((I42/$K$26)/(N42/4096)*100 &gt; 100, 100, (I42/$K$26)/(N42/4096)*100)</f>
        <v>69.8347691004096</v>
      </c>
      <c r="P42" s="40" t="n">
        <f aca="false">(IF(((O42/100)*(460)+50)&lt;510,((O42/100)*(460)+50),510))/100</f>
        <v>3.71239937861884</v>
      </c>
    </row>
    <row r="43" customFormat="false" ht="13.8" hidden="false" customHeight="false" outlineLevel="0" collapsed="false">
      <c r="I43" s="37" t="n">
        <f aca="false">IF(($L$18-(1.4*($K$18-$I$11))-$J$11)&lt;0, 0, ($L$18-(1.4*($K$18-$I$11))-$J$11))</f>
        <v>1780.2</v>
      </c>
      <c r="J43" s="38" t="n">
        <f aca="false">IF(($M$18-(1.05*($K$18-$I$11))-$K$11)&lt;0, 0, ($M$18-(1.05*($K$18-$I$11))-$K$11))</f>
        <v>1916.65</v>
      </c>
      <c r="K43" s="38" t="n">
        <f aca="false">($L$26*(I43/J43)-6.3)*4096</f>
        <v>-50.4481075156291</v>
      </c>
      <c r="L43" s="38" t="n">
        <f aca="false">IF(K43&lt;0,$N$26,K43)</f>
        <v>3997.72213451411</v>
      </c>
      <c r="M43" s="38" t="n">
        <f aca="false">IF(L43 &lt; $N$26,$N$26,L43)</f>
        <v>3997.72213451411</v>
      </c>
      <c r="N43" s="38" t="n">
        <f aca="false">IF(OR(I43&lt;$M$26,J43=0),(N42),((N42*3)+M43)/4)</f>
        <v>3997.72213451411</v>
      </c>
      <c r="O43" s="39" t="n">
        <f aca="false">IF((I43/$K$26)/(N43/4096)*100 &gt; 100, 100, (I43/$K$26)/(N43/4096)*100)</f>
        <v>69.8347691004096</v>
      </c>
      <c r="P43" s="40" t="n">
        <f aca="false">(IF(((O43/100)*(460)+50)&lt;510,((O43/100)*(460)+50),510))/100</f>
        <v>3.71239937861884</v>
      </c>
    </row>
    <row r="44" customFormat="false" ht="13.8" hidden="false" customHeight="false" outlineLevel="0" collapsed="false">
      <c r="I44" s="37" t="n">
        <f aca="false">IF(($L$18-(1.4*($K$18-$I$11))-$J$11)&lt;0, 0, ($L$18-(1.4*($K$18-$I$11))-$J$11))</f>
        <v>1780.2</v>
      </c>
      <c r="J44" s="38" t="n">
        <f aca="false">IF(($M$18-(1.05*($K$18-$I$11))-$K$11)&lt;0, 0, ($M$18-(1.05*($K$18-$I$11))-$K$11))</f>
        <v>1916.65</v>
      </c>
      <c r="K44" s="38" t="n">
        <f aca="false">($L$26*(I44/J44)-6.3)*4096</f>
        <v>-50.4481075156291</v>
      </c>
      <c r="L44" s="38" t="n">
        <f aca="false">IF(K44&lt;0,$N$26,K44)</f>
        <v>3997.72213451411</v>
      </c>
      <c r="M44" s="38" t="n">
        <f aca="false">IF(L44 &lt; $N$26,$N$26,L44)</f>
        <v>3997.72213451411</v>
      </c>
      <c r="N44" s="38" t="n">
        <f aca="false">IF(OR(I44&lt;$M$26,J44=0),(N43),((N43*3)+M44)/4)</f>
        <v>3997.72213451411</v>
      </c>
      <c r="O44" s="39" t="n">
        <f aca="false">IF((I44/$K$26)/(N44/4096)*100 &gt; 100, 100, (I44/$K$26)/(N44/4096)*100)</f>
        <v>69.8347691004096</v>
      </c>
      <c r="P44" s="40" t="n">
        <f aca="false">(IF(((O44/100)*(460)+50)&lt;510,((O44/100)*(460)+50),510))/100</f>
        <v>3.71239937861884</v>
      </c>
    </row>
    <row r="45" customFormat="false" ht="13.8" hidden="false" customHeight="false" outlineLevel="0" collapsed="false">
      <c r="I45" s="37" t="n">
        <f aca="false">IF(($L$18-(1.4*($K$18-$I$11))-$J$11)&lt;0, 0, ($L$18-(1.4*($K$18-$I$11))-$J$11))</f>
        <v>1780.2</v>
      </c>
      <c r="J45" s="38" t="n">
        <f aca="false">IF(($M$18-(1.05*($K$18-$I$11))-$K$11)&lt;0, 0, ($M$18-(1.05*($K$18-$I$11))-$K$11))</f>
        <v>1916.65</v>
      </c>
      <c r="K45" s="38" t="n">
        <f aca="false">($L$26*(I45/J45)-6.3)*4096</f>
        <v>-50.4481075156291</v>
      </c>
      <c r="L45" s="38" t="n">
        <f aca="false">IF(K45&lt;0,$N$26,K45)</f>
        <v>3997.72213451411</v>
      </c>
      <c r="M45" s="38" t="n">
        <f aca="false">IF(L45 &lt; $N$26,$N$26,L45)</f>
        <v>3997.72213451411</v>
      </c>
      <c r="N45" s="38" t="n">
        <f aca="false">IF(OR(I45&lt;$M$26,J45=0),(N44),((N44*3)+M45)/4)</f>
        <v>3997.72213451411</v>
      </c>
      <c r="O45" s="39" t="n">
        <f aca="false">IF((I45/$K$26)/(N45/4096)*100 &gt; 100, 100, (I45/$K$26)/(N45/4096)*100)</f>
        <v>69.8347691004096</v>
      </c>
      <c r="P45" s="40" t="n">
        <f aca="false">(IF(((O45/100)*(460)+50)&lt;510,((O45/100)*(460)+50),510))/100</f>
        <v>3.71239937861884</v>
      </c>
    </row>
    <row r="46" customFormat="false" ht="13.8" hidden="false" customHeight="false" outlineLevel="0" collapsed="false">
      <c r="I46" s="37" t="n">
        <f aca="false">IF(($L$18-(1.4*($K$18-$I$11))-$J$11)&lt;0, 0, ($L$18-(1.4*($K$18-$I$11))-$J$11))</f>
        <v>1780.2</v>
      </c>
      <c r="J46" s="38" t="n">
        <f aca="false">IF(($M$18-(1.05*($K$18-$I$11))-$K$11)&lt;0, 0, ($M$18-(1.05*($K$18-$I$11))-$K$11))</f>
        <v>1916.65</v>
      </c>
      <c r="K46" s="38" t="n">
        <f aca="false">($L$26*(I46/J46)-6.3)*4096</f>
        <v>-50.4481075156291</v>
      </c>
      <c r="L46" s="38" t="n">
        <f aca="false">IF(K46&lt;0,$N$26,K46)</f>
        <v>3997.72213451411</v>
      </c>
      <c r="M46" s="38" t="n">
        <f aca="false">IF(L46 &lt; $N$26,$N$26,L46)</f>
        <v>3997.72213451411</v>
      </c>
      <c r="N46" s="38" t="n">
        <f aca="false">IF(OR(I46&lt;$M$26,J46=0),(N45),((N45*3)+M46)/4)</f>
        <v>3997.72213451411</v>
      </c>
      <c r="O46" s="39" t="n">
        <f aca="false">IF((I46/$K$26)/(N46/4096)*100 &gt; 100, 100, (I46/$K$26)/(N46/4096)*100)</f>
        <v>69.8347691004096</v>
      </c>
      <c r="P46" s="40" t="n">
        <f aca="false">(IF(((O46/100)*(460)+50)&lt;510,((O46/100)*(460)+50),510))/100</f>
        <v>3.71239937861884</v>
      </c>
    </row>
    <row r="47" customFormat="false" ht="13.8" hidden="false" customHeight="false" outlineLevel="0" collapsed="false">
      <c r="I47" s="37" t="n">
        <f aca="false">IF(($L$18-(1.4*($K$18-$I$11))-$J$11)&lt;0, 0, ($L$18-(1.4*($K$18-$I$11))-$J$11))</f>
        <v>1780.2</v>
      </c>
      <c r="J47" s="38" t="n">
        <f aca="false">IF(($M$18-(1.05*($K$18-$I$11))-$K$11)&lt;0, 0, ($M$18-(1.05*($K$18-$I$11))-$K$11))</f>
        <v>1916.65</v>
      </c>
      <c r="K47" s="38" t="n">
        <f aca="false">($L$26*(I47/J47)-6.3)*4096</f>
        <v>-50.4481075156291</v>
      </c>
      <c r="L47" s="38" t="n">
        <f aca="false">IF(K47&lt;0,$N$26,K47)</f>
        <v>3997.72213451411</v>
      </c>
      <c r="M47" s="38" t="n">
        <f aca="false">IF(L47 &lt; $N$26,$N$26,L47)</f>
        <v>3997.72213451411</v>
      </c>
      <c r="N47" s="38" t="n">
        <f aca="false">IF(OR(I47&lt;$M$26,J47=0),(N46),((N46*3)+M47)/4)</f>
        <v>3997.72213451411</v>
      </c>
      <c r="O47" s="39" t="n">
        <f aca="false">IF((I47/$K$26)/(N47/4096)*100 &gt; 100, 100, (I47/$K$26)/(N47/4096)*100)</f>
        <v>69.8347691004096</v>
      </c>
      <c r="P47" s="40" t="n">
        <f aca="false">(IF(((O47/100)*(460)+50)&lt;510,((O47/100)*(460)+50),510))/100</f>
        <v>3.71239937861884</v>
      </c>
    </row>
    <row r="48" customFormat="false" ht="13.8" hidden="false" customHeight="false" outlineLevel="0" collapsed="false">
      <c r="I48" s="37" t="n">
        <f aca="false">IF(($L$18-(1.4*($K$18-$I$11))-$J$11)&lt;0, 0, ($L$18-(1.4*($K$18-$I$11))-$J$11))</f>
        <v>1780.2</v>
      </c>
      <c r="J48" s="38" t="n">
        <f aca="false">IF(($M$18-(1.05*($K$18-$I$11))-$K$11)&lt;0, 0, ($M$18-(1.05*($K$18-$I$11))-$K$11))</f>
        <v>1916.65</v>
      </c>
      <c r="K48" s="38" t="n">
        <f aca="false">($L$26*(I48/J48)-6.3)*4096</f>
        <v>-50.4481075156291</v>
      </c>
      <c r="L48" s="38" t="n">
        <f aca="false">IF(K48&lt;0,$N$26,K48)</f>
        <v>3997.72213451411</v>
      </c>
      <c r="M48" s="38" t="n">
        <f aca="false">IF(L48 &lt; $N$26,$N$26,L48)</f>
        <v>3997.72213451411</v>
      </c>
      <c r="N48" s="38" t="n">
        <f aca="false">IF(OR(I48&lt;$M$26,J48=0),(N47),((N47*3)+M48)/4)</f>
        <v>3997.72213451411</v>
      </c>
      <c r="O48" s="39" t="n">
        <f aca="false">IF((I48/$K$26)/(N48/4096)*100 &gt; 100, 100, (I48/$K$26)/(N48/4096)*100)</f>
        <v>69.8347691004096</v>
      </c>
      <c r="P48" s="40" t="n">
        <f aca="false">(IF(((O48/100)*(460)+50)&lt;510,((O48/100)*(460)+50),510))/100</f>
        <v>3.71239937861884</v>
      </c>
    </row>
    <row r="49" customFormat="false" ht="13.8" hidden="false" customHeight="false" outlineLevel="0" collapsed="false">
      <c r="I49" s="37" t="n">
        <f aca="false">IF(($L$18-(1.4*($K$18-$I$11))-$J$11)&lt;0, 0, ($L$18-(1.4*($K$18-$I$11))-$J$11))</f>
        <v>1780.2</v>
      </c>
      <c r="J49" s="38" t="n">
        <f aca="false">IF(($M$18-(1.05*($K$18-$I$11))-$K$11)&lt;0, 0, ($M$18-(1.05*($K$18-$I$11))-$K$11))</f>
        <v>1916.65</v>
      </c>
      <c r="K49" s="38" t="n">
        <f aca="false">($L$26*(I49/J49)-6.3)*4096</f>
        <v>-50.4481075156291</v>
      </c>
      <c r="L49" s="38" t="n">
        <f aca="false">IF(K49&lt;0,$N$26,K49)</f>
        <v>3997.72213451411</v>
      </c>
      <c r="M49" s="38" t="n">
        <f aca="false">IF(L49 &lt; $N$26,$N$26,L49)</f>
        <v>3997.72213451411</v>
      </c>
      <c r="N49" s="38" t="n">
        <f aca="false">IF(OR(I49&lt;$M$26,J49=0),(N48),((N48*3)+M49)/4)</f>
        <v>3997.72213451411</v>
      </c>
      <c r="O49" s="39" t="n">
        <f aca="false">IF((I49/$K$26)/(N49/4096)*100 &gt; 100, 100, (I49/$K$26)/(N49/4096)*100)</f>
        <v>69.8347691004096</v>
      </c>
      <c r="P49" s="40" t="n">
        <f aca="false">(IF(((O49/100)*(460)+50)&lt;510,((O49/100)*(460)+50),510))/100</f>
        <v>3.71239937861884</v>
      </c>
    </row>
    <row r="50" customFormat="false" ht="13.8" hidden="false" customHeight="false" outlineLevel="0" collapsed="false">
      <c r="I50" s="37" t="n">
        <f aca="false">IF(($L$18-(1.4*($K$18-$I$11))-$J$11)&lt;0, 0, ($L$18-(1.4*($K$18-$I$11))-$J$11))</f>
        <v>1780.2</v>
      </c>
      <c r="J50" s="38" t="n">
        <f aca="false">IF(($M$18-(1.05*($K$18-$I$11))-$K$11)&lt;0, 0, ($M$18-(1.05*($K$18-$I$11))-$K$11))</f>
        <v>1916.65</v>
      </c>
      <c r="K50" s="38" t="n">
        <f aca="false">($L$26*(I50/J50)-6.3)*4096</f>
        <v>-50.4481075156291</v>
      </c>
      <c r="L50" s="38" t="n">
        <f aca="false">IF(K50&lt;0,$N$26,K50)</f>
        <v>3997.72213451411</v>
      </c>
      <c r="M50" s="38" t="n">
        <f aca="false">IF(L50 &lt; $N$26,$N$26,L50)</f>
        <v>3997.72213451411</v>
      </c>
      <c r="N50" s="38" t="n">
        <f aca="false">IF(OR(I50&lt;$M$26,J50=0),(N49),((N49*3)+M50)/4)</f>
        <v>3997.72213451411</v>
      </c>
      <c r="O50" s="39" t="n">
        <f aca="false">IF((I50/$K$26)/(N50/4096)*100 &gt; 100, 100, (I50/$K$26)/(N50/4096)*100)</f>
        <v>69.8347691004096</v>
      </c>
      <c r="P50" s="40" t="n">
        <f aca="false">(IF(((O50/100)*(460)+50)&lt;510,((O50/100)*(460)+50),510))/100</f>
        <v>3.71239937861884</v>
      </c>
    </row>
    <row r="51" customFormat="false" ht="13.8" hidden="false" customHeight="false" outlineLevel="0" collapsed="false">
      <c r="I51" s="37" t="n">
        <f aca="false">IF(($L$18-(1.4*($K$18-$I$11))-$J$11)&lt;0, 0, ($L$18-(1.4*($K$18-$I$11))-$J$11))</f>
        <v>1780.2</v>
      </c>
      <c r="J51" s="38" t="n">
        <f aca="false">IF(($M$18-(1.05*($K$18-$I$11))-$K$11)&lt;0, 0, ($M$18-(1.05*($K$18-$I$11))-$K$11))</f>
        <v>1916.65</v>
      </c>
      <c r="K51" s="38" t="n">
        <f aca="false">($L$26*(I51/J51)-6.3)*4096</f>
        <v>-50.4481075156291</v>
      </c>
      <c r="L51" s="38" t="n">
        <f aca="false">IF(K51&lt;0,$N$26,K51)</f>
        <v>3997.72213451411</v>
      </c>
      <c r="M51" s="38" t="n">
        <f aca="false">IF(L51 &lt; $N$26,$N$26,L51)</f>
        <v>3997.72213451411</v>
      </c>
      <c r="N51" s="38" t="n">
        <f aca="false">IF(OR(I51&lt;$M$26,J51=0),(N50),((N50*3)+M51)/4)</f>
        <v>3997.72213451411</v>
      </c>
      <c r="O51" s="39" t="n">
        <f aca="false">IF((I51/$K$26)/(N51/4096)*100 &gt; 100, 100, (I51/$K$26)/(N51/4096)*100)</f>
        <v>69.8347691004096</v>
      </c>
      <c r="P51" s="40" t="n">
        <f aca="false">(IF(((O51/100)*(460)+50)&lt;510,((O51/100)*(460)+50),510))/100</f>
        <v>3.71239937861884</v>
      </c>
    </row>
    <row r="52" customFormat="false" ht="13.8" hidden="false" customHeight="false" outlineLevel="0" collapsed="false">
      <c r="I52" s="37" t="n">
        <f aca="false">IF(($L$18-(1.4*($K$18-$I$11))-$J$11)&lt;0, 0, ($L$18-(1.4*($K$18-$I$11))-$J$11))</f>
        <v>1780.2</v>
      </c>
      <c r="J52" s="38" t="n">
        <f aca="false">IF(($M$18-(1.05*($K$18-$I$11))-$K$11)&lt;0, 0, ($M$18-(1.05*($K$18-$I$11))-$K$11))</f>
        <v>1916.65</v>
      </c>
      <c r="K52" s="38" t="n">
        <f aca="false">($L$26*(I52/J52)-6.3)*4096</f>
        <v>-50.4481075156291</v>
      </c>
      <c r="L52" s="38" t="n">
        <f aca="false">IF(K52&lt;0,$N$26,K52)</f>
        <v>3997.72213451411</v>
      </c>
      <c r="M52" s="38" t="n">
        <f aca="false">IF(L52 &lt; $N$26,$N$26,L52)</f>
        <v>3997.72213451411</v>
      </c>
      <c r="N52" s="38" t="n">
        <f aca="false">IF(OR(I52&lt;$M$26,J52=0),(N51),((N51*3)+M52)/4)</f>
        <v>3997.72213451411</v>
      </c>
      <c r="O52" s="39" t="n">
        <f aca="false">IF((I52/$K$26)/(N52/4096)*100 &gt; 100, 100, (I52/$K$26)/(N52/4096)*100)</f>
        <v>69.8347691004096</v>
      </c>
      <c r="P52" s="40" t="n">
        <f aca="false">(IF(((O52/100)*(460)+50)&lt;510,((O52/100)*(460)+50),510))/100</f>
        <v>3.71239937861884</v>
      </c>
    </row>
    <row r="53" customFormat="false" ht="13.8" hidden="false" customHeight="false" outlineLevel="0" collapsed="false">
      <c r="I53" s="41" t="n">
        <f aca="false">IF(($L$18-(1.4*($K$18-$I$11))-$J$11)&lt;0, 0, ($L$18-(1.4*($K$18-$I$11))-$J$11))</f>
        <v>1780.2</v>
      </c>
      <c r="J53" s="42" t="n">
        <f aca="false">IF(($M$18-(1.05*($K$18-$I$11))-$K$11)&lt;0, 0, ($M$18-(1.05*($K$18-$I$11))-$K$11))</f>
        <v>1916.65</v>
      </c>
      <c r="K53" s="42" t="n">
        <f aca="false">($L$26*(I53/J53)-6.3)*4096</f>
        <v>-50.4481075156291</v>
      </c>
      <c r="L53" s="38" t="n">
        <f aca="false">IF(K53&lt;0,$N$26,K53)</f>
        <v>3997.72213451411</v>
      </c>
      <c r="M53" s="42" t="n">
        <f aca="false">IF(L53 &lt; $N$26,$N$26,L53)</f>
        <v>3997.72213451411</v>
      </c>
      <c r="N53" s="38" t="n">
        <f aca="false">IF(OR(I53&lt;$M$26,J53=0),(N52),((N52*3)+M53)/4)</f>
        <v>3997.72213451411</v>
      </c>
      <c r="O53" s="43" t="n">
        <f aca="false">IF((I53/$K$26)/(N53/4096)*100 &gt; 100, 100, (I53/$K$26)/(N53/4096)*100)</f>
        <v>69.8347691004096</v>
      </c>
      <c r="P53" s="44" t="n">
        <f aca="false">(IF(((O53/100)*(460)+50)&lt;510,((O53/100)*(460)+50),510))/100</f>
        <v>3.71239937861884</v>
      </c>
    </row>
    <row r="54" customFormat="false" ht="13.8" hidden="false" customHeight="false" outlineLevel="0" collapsed="false">
      <c r="I54" s="38"/>
      <c r="J54" s="38"/>
      <c r="K54" s="38"/>
      <c r="L54" s="38"/>
      <c r="M54" s="38"/>
      <c r="N54" s="38"/>
      <c r="O54" s="39"/>
      <c r="P54" s="39"/>
    </row>
    <row r="55" customFormat="false" ht="13.8" hidden="false" customHeight="false" outlineLevel="0" collapsed="false">
      <c r="I55" s="45"/>
      <c r="J55" s="45"/>
      <c r="K55" s="45"/>
      <c r="L55" s="45"/>
      <c r="M55" s="45"/>
      <c r="N55" s="45"/>
      <c r="O55" s="45"/>
      <c r="P55" s="45"/>
    </row>
    <row r="56" customFormat="false" ht="15" hidden="false" customHeight="true" outlineLevel="0" collapsed="false">
      <c r="J56" s="46" t="s">
        <v>114</v>
      </c>
      <c r="K56" s="46"/>
      <c r="L56" s="46"/>
      <c r="M56" s="46"/>
      <c r="N56" s="46"/>
      <c r="O56" s="46"/>
    </row>
    <row r="57" customFormat="false" ht="15" hidden="false" customHeight="true" outlineLevel="0" collapsed="false">
      <c r="J57" s="46"/>
      <c r="K57" s="46"/>
      <c r="L57" s="46"/>
      <c r="M57" s="46"/>
      <c r="N57" s="46"/>
      <c r="O57" s="46"/>
    </row>
    <row r="58" customFormat="false" ht="15" hidden="false" customHeight="true" outlineLevel="0" collapsed="false">
      <c r="J58" s="46"/>
      <c r="K58" s="46"/>
      <c r="L58" s="46"/>
      <c r="M58" s="46"/>
      <c r="N58" s="46"/>
      <c r="O58" s="46"/>
    </row>
    <row r="59" customFormat="false" ht="15" hidden="false" customHeight="true" outlineLevel="0" collapsed="false">
      <c r="J59" s="47"/>
      <c r="K59" s="47"/>
      <c r="L59" s="47"/>
      <c r="M59" s="47"/>
      <c r="N59" s="47"/>
      <c r="O59" s="47"/>
    </row>
  </sheetData>
  <mergeCells count="13">
    <mergeCell ref="B2:C2"/>
    <mergeCell ref="A3:B3"/>
    <mergeCell ref="C3:O3"/>
    <mergeCell ref="A5:B5"/>
    <mergeCell ref="C5:O6"/>
    <mergeCell ref="I9:P9"/>
    <mergeCell ref="K16:M16"/>
    <mergeCell ref="O16:P16"/>
    <mergeCell ref="I19:P21"/>
    <mergeCell ref="I23:P23"/>
    <mergeCell ref="I24:P24"/>
    <mergeCell ref="J28:O29"/>
    <mergeCell ref="J56:O58"/>
  </mergeCells>
  <hyperlinks>
    <hyperlink ref="N10" r:id="rId1" display="div@cal"/>
    <hyperlink ref="N25" r:id="rId2" display="div@cal *0.9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5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18" activeCellId="0" sqref="G18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9.71"/>
    <col collapsed="false" customWidth="true" hidden="false" outlineLevel="0" max="8" min="8" style="0" width="14.01"/>
    <col collapsed="false" customWidth="true" hidden="false" outlineLevel="0" max="9" min="9" style="0" width="15.42"/>
    <col collapsed="false" customWidth="true" hidden="false" outlineLevel="0" max="10" min="10" style="0" width="15.15"/>
    <col collapsed="false" customWidth="true" hidden="false" outlineLevel="0" max="11" min="11" style="0" width="19.71"/>
    <col collapsed="false" customWidth="true" hidden="false" outlineLevel="0" max="12" min="12" style="0" width="18.71"/>
    <col collapsed="false" customWidth="true" hidden="false" outlineLevel="0" max="13" min="13" style="0" width="20.86"/>
    <col collapsed="false" customWidth="true" hidden="false" outlineLevel="0" max="14" min="14" style="0" width="13.14"/>
    <col collapsed="false" customWidth="true" hidden="false" outlineLevel="0" max="15" min="15" style="0" width="16.41"/>
    <col collapsed="false" customWidth="true" hidden="false" outlineLevel="0" max="16" min="16" style="0" width="17.29"/>
  </cols>
  <sheetData>
    <row r="2" customFormat="false" ht="13.8" hidden="false" customHeight="false" outlineLevel="0" collapsed="false">
      <c r="A2" s="74" t="s">
        <v>0</v>
      </c>
      <c r="B2" s="2" t="n">
        <v>43939</v>
      </c>
      <c r="C2" s="2"/>
    </row>
    <row r="3" customFormat="false" ht="15" hidden="false" customHeight="true" outlineLevel="0" collapsed="false">
      <c r="A3" s="3" t="s">
        <v>1</v>
      </c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3.8" hidden="false" customHeight="false" outlineLevel="0" collapsed="false">
      <c r="A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customFormat="false" ht="13.5" hidden="false" customHeight="true" outlineLevel="0" collapsed="false">
      <c r="A5" s="9" t="s">
        <v>3</v>
      </c>
      <c r="B5" s="9"/>
      <c r="C5" s="4" t="s">
        <v>89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customFormat="false" ht="13.8" hidden="false" customHeight="false" outlineLevel="0" collapsed="false">
      <c r="A6" s="10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8" customFormat="false" ht="19.7" hidden="false" customHeight="false" outlineLevel="0" collapsed="false">
      <c r="C8" s="11" t="s">
        <v>5</v>
      </c>
    </row>
    <row r="9" customFormat="false" ht="13.5" hidden="false" customHeight="true" outlineLevel="0" collapsed="false">
      <c r="I9" s="12" t="s">
        <v>6</v>
      </c>
      <c r="J9" s="12"/>
      <c r="K9" s="12"/>
      <c r="L9" s="12"/>
      <c r="M9" s="12"/>
      <c r="N9" s="12"/>
      <c r="O9" s="12"/>
      <c r="P9" s="12"/>
    </row>
    <row r="10" customFormat="false" ht="21" hidden="false" customHeight="true" outlineLevel="0" collapsed="false"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4" t="s">
        <v>12</v>
      </c>
      <c r="O10" s="15" t="s">
        <v>24</v>
      </c>
      <c r="P10" s="15"/>
    </row>
    <row r="11" customFormat="false" ht="13.8" hidden="false" customHeight="false" outlineLevel="0" collapsed="false">
      <c r="I11" s="24" t="n">
        <v>7883</v>
      </c>
      <c r="J11" s="24" t="n">
        <v>9987</v>
      </c>
      <c r="K11" s="24" t="n">
        <v>10265</v>
      </c>
      <c r="L11" s="24" t="n">
        <v>11023</v>
      </c>
      <c r="M11" s="24" t="n">
        <v>11208</v>
      </c>
      <c r="N11" s="15" t="n">
        <f aca="false">O11*((L11-J11)/(M11-K11))-6.3</f>
        <v>0.986877443775591</v>
      </c>
      <c r="O11" s="15" t="n">
        <f aca="false">14.4-(7.07*((L11-J11)/(M11-K11)))</f>
        <v>6.63274655355249</v>
      </c>
      <c r="P11" s="15"/>
    </row>
    <row r="12" customFormat="false" ht="13.8" hidden="false" customHeight="false" outlineLevel="0" collapsed="false">
      <c r="H12" s="75" t="s">
        <v>90</v>
      </c>
      <c r="I12" s="76" t="n">
        <v>9930</v>
      </c>
      <c r="J12" s="76" t="n">
        <f aca="false">16697 - 12</f>
        <v>16685</v>
      </c>
      <c r="K12" s="76" t="n">
        <f aca="false">15563-2</f>
        <v>15561</v>
      </c>
      <c r="L12" s="76" t="n">
        <v>19333</v>
      </c>
      <c r="M12" s="76" t="n">
        <v>18499</v>
      </c>
      <c r="N12" s="24"/>
    </row>
    <row r="13" customFormat="false" ht="13.8" hidden="false" customHeight="false" outlineLevel="0" collapsed="false">
      <c r="H13" s="75" t="s">
        <v>91</v>
      </c>
      <c r="I13" s="76" t="n">
        <v>9861</v>
      </c>
      <c r="J13" s="76" t="n">
        <v>16604</v>
      </c>
      <c r="K13" s="76" t="n">
        <v>15493</v>
      </c>
      <c r="L13" s="76" t="n">
        <v>19289</v>
      </c>
      <c r="M13" s="76" t="n">
        <v>18467</v>
      </c>
    </row>
    <row r="15" customFormat="false" ht="13.8" hidden="false" customHeight="false" outlineLevel="0" collapsed="false">
      <c r="O15" s="0" t="s">
        <v>92</v>
      </c>
    </row>
    <row r="16" customFormat="false" ht="19.7" hidden="false" customHeight="false" outlineLevel="0" collapsed="false">
      <c r="B16" s="11" t="s">
        <v>13</v>
      </c>
      <c r="K16" s="16" t="s">
        <v>14</v>
      </c>
      <c r="L16" s="16"/>
      <c r="M16" s="16"/>
      <c r="O16" s="77" t="s">
        <v>93</v>
      </c>
      <c r="P16" s="77"/>
    </row>
    <row r="17" customFormat="false" ht="25" hidden="false" customHeight="false" outlineLevel="0" collapsed="false">
      <c r="B17" s="11"/>
      <c r="K17" s="13" t="s">
        <v>15</v>
      </c>
      <c r="L17" s="13" t="s">
        <v>16</v>
      </c>
      <c r="M17" s="13" t="s">
        <v>17</v>
      </c>
      <c r="O17" s="78" t="s">
        <v>94</v>
      </c>
      <c r="P17" s="78" t="s">
        <v>95</v>
      </c>
    </row>
    <row r="18" customFormat="false" ht="19.7" hidden="false" customHeight="false" outlineLevel="0" collapsed="false">
      <c r="B18" s="11"/>
      <c r="K18" s="24" t="n">
        <v>7886</v>
      </c>
      <c r="L18" s="24" t="n">
        <v>10981</v>
      </c>
      <c r="M18" s="24" t="n">
        <v>11173</v>
      </c>
      <c r="O18" s="79" t="n">
        <f aca="false">(L18-J11)/(L11-J11)</f>
        <v>0.959459459459459</v>
      </c>
      <c r="P18" s="79" t="n">
        <f aca="false">(N53/4096)/N11</f>
        <v>0.97</v>
      </c>
    </row>
    <row r="19" customFormat="false" ht="19.5" hidden="false" customHeight="true" outlineLevel="0" collapsed="false">
      <c r="B19" s="11"/>
      <c r="I19" s="17" t="s">
        <v>96</v>
      </c>
      <c r="J19" s="17"/>
      <c r="K19" s="17"/>
      <c r="L19" s="17"/>
      <c r="M19" s="17"/>
      <c r="N19" s="17"/>
      <c r="O19" s="17"/>
      <c r="P19" s="17"/>
    </row>
    <row r="20" customFormat="false" ht="21" hidden="false" customHeight="true" outlineLevel="0" collapsed="false">
      <c r="B20" s="11"/>
      <c r="I20" s="17"/>
      <c r="J20" s="17"/>
      <c r="K20" s="17"/>
      <c r="L20" s="17"/>
      <c r="M20" s="17"/>
      <c r="N20" s="17"/>
      <c r="O20" s="17"/>
      <c r="P20" s="17"/>
    </row>
    <row r="21" customFormat="false" ht="19.7" hidden="false" customHeight="false" outlineLevel="0" collapsed="false">
      <c r="B21" s="11"/>
      <c r="I21" s="17"/>
      <c r="J21" s="17"/>
      <c r="K21" s="17"/>
      <c r="L21" s="17"/>
      <c r="M21" s="17"/>
      <c r="N21" s="17"/>
      <c r="O21" s="17"/>
      <c r="P21" s="17"/>
    </row>
    <row r="22" customFormat="false" ht="19.7" hidden="false" customHeight="false" outlineLevel="0" collapsed="false">
      <c r="B22" s="11"/>
      <c r="L22" s="18"/>
      <c r="M22" s="18"/>
      <c r="N22" s="18"/>
      <c r="O22" s="18"/>
      <c r="P22" s="18"/>
    </row>
    <row r="23" customFormat="false" ht="19.5" hidden="false" customHeight="true" outlineLevel="0" collapsed="false">
      <c r="B23" s="11"/>
      <c r="I23" s="19" t="s">
        <v>19</v>
      </c>
      <c r="J23" s="19"/>
      <c r="K23" s="19"/>
      <c r="L23" s="19"/>
      <c r="M23" s="19"/>
      <c r="N23" s="19"/>
      <c r="O23" s="19"/>
      <c r="P23" s="19"/>
    </row>
    <row r="24" customFormat="false" ht="13.5" hidden="false" customHeight="true" outlineLevel="0" collapsed="false">
      <c r="I24" s="12" t="s">
        <v>20</v>
      </c>
      <c r="J24" s="12"/>
      <c r="K24" s="12"/>
      <c r="L24" s="12"/>
      <c r="M24" s="12"/>
      <c r="N24" s="12"/>
      <c r="O24" s="12"/>
      <c r="P24" s="12"/>
    </row>
    <row r="25" customFormat="false" ht="15.75" hidden="false" customHeight="true" outlineLevel="0" collapsed="false">
      <c r="I25" s="20" t="s">
        <v>21</v>
      </c>
      <c r="J25" s="20" t="s">
        <v>22</v>
      </c>
      <c r="K25" s="20" t="s">
        <v>23</v>
      </c>
      <c r="L25" s="20" t="s">
        <v>24</v>
      </c>
      <c r="M25" s="20" t="s">
        <v>25</v>
      </c>
      <c r="N25" s="21" t="s">
        <v>26</v>
      </c>
      <c r="O25" s="22"/>
      <c r="P25" s="23"/>
    </row>
    <row r="26" customFormat="false" ht="15.75" hidden="false" customHeight="true" outlineLevel="0" collapsed="false">
      <c r="I26" s="24" t="n">
        <f aca="false">$L$11-$J$11</f>
        <v>1036</v>
      </c>
      <c r="J26" s="24" t="n">
        <f aca="false">$M$11-$K$11</f>
        <v>943</v>
      </c>
      <c r="K26" s="25" t="n">
        <f aca="false">I26/$N$11</f>
        <v>1049.77574118674</v>
      </c>
      <c r="L26" s="26" t="n">
        <f aca="false">14.4-(7.07*(I26/J26))</f>
        <v>6.63274655355249</v>
      </c>
      <c r="M26" s="24" t="n">
        <f aca="false">0.2*I26</f>
        <v>207.2</v>
      </c>
      <c r="N26" s="27" t="n">
        <f aca="false">0.97*$N$11*4096</f>
        <v>3920.98250941368</v>
      </c>
      <c r="O26" s="28"/>
      <c r="P26" s="24"/>
    </row>
    <row r="27" customFormat="false" ht="15.75" hidden="false" customHeight="true" outlineLevel="0" collapsed="false">
      <c r="I27" s="29"/>
      <c r="J27" s="29"/>
      <c r="K27" s="29"/>
    </row>
    <row r="28" customFormat="false" ht="15.75" hidden="false" customHeight="true" outlineLevel="0" collapsed="false">
      <c r="J28" s="30" t="s">
        <v>27</v>
      </c>
      <c r="K28" s="30"/>
      <c r="L28" s="30"/>
      <c r="M28" s="30"/>
      <c r="N28" s="30"/>
      <c r="O28" s="30"/>
    </row>
    <row r="29" customFormat="false" ht="15" hidden="false" customHeight="true" outlineLevel="0" collapsed="false">
      <c r="B29" s="5" t="s">
        <v>97</v>
      </c>
      <c r="J29" s="30"/>
      <c r="K29" s="30"/>
      <c r="L29" s="30"/>
      <c r="M29" s="30"/>
      <c r="N29" s="30"/>
      <c r="O29" s="30"/>
    </row>
    <row r="30" customFormat="false" ht="25" hidden="false" customHeight="false" outlineLevel="0" collapsed="false">
      <c r="I30" s="31" t="s">
        <v>28</v>
      </c>
      <c r="J30" s="31" t="s">
        <v>29</v>
      </c>
      <c r="K30" s="32" t="s">
        <v>30</v>
      </c>
      <c r="L30" s="32" t="s">
        <v>31</v>
      </c>
      <c r="M30" s="32" t="s">
        <v>32</v>
      </c>
      <c r="N30" s="31" t="s">
        <v>33</v>
      </c>
      <c r="O30" s="31" t="s">
        <v>34</v>
      </c>
      <c r="P30" s="31" t="s">
        <v>35</v>
      </c>
    </row>
    <row r="31" customFormat="false" ht="13.8" hidden="false" customHeight="false" outlineLevel="0" collapsed="false">
      <c r="A31" s="0" t="s">
        <v>98</v>
      </c>
      <c r="C31" s="0" t="s">
        <v>99</v>
      </c>
      <c r="I31" s="33"/>
      <c r="J31" s="34"/>
      <c r="K31" s="34"/>
      <c r="L31" s="34"/>
      <c r="M31" s="34"/>
      <c r="N31" s="34" t="n">
        <f aca="false">N26</f>
        <v>3920.98250941368</v>
      </c>
      <c r="O31" s="35"/>
      <c r="P31" s="36"/>
    </row>
    <row r="32" customFormat="false" ht="13.8" hidden="false" customHeight="false" outlineLevel="0" collapsed="false">
      <c r="A32" s="0" t="s">
        <v>100</v>
      </c>
      <c r="C32" s="0" t="s">
        <v>101</v>
      </c>
      <c r="I32" s="37" t="n">
        <f aca="false">IF(($L$18-(1.4*($K$18-$I$11))-$J$11)&lt;0, 0, ($L$18-(1.4*($K$18-$I$11))-$J$11))</f>
        <v>989.799999999999</v>
      </c>
      <c r="J32" s="38" t="n">
        <f aca="false">IF(($M$18-(1.05*($K$18-$I$11))-$K$11)&lt;0, 0, ($M$18-(1.05*($K$18-$I$11))-$K$11))</f>
        <v>904.85</v>
      </c>
      <c r="K32" s="38" t="n">
        <f aca="false">($L$26*(I32/J32)-6.3)*4096</f>
        <v>3913.51689068995</v>
      </c>
      <c r="L32" s="38" t="n">
        <f aca="false">IF(K32&lt;0,3535+K32,K32)</f>
        <v>3913.51689068995</v>
      </c>
      <c r="M32" s="38" t="n">
        <f aca="false">IF(L32 &lt; $N$26,$N$26,L32)</f>
        <v>3920.98250941368</v>
      </c>
      <c r="N32" s="38" t="n">
        <f aca="false">IF(OR(I32&lt;$M$26,J32=0),(N31),((N31*3)+M32)/4)</f>
        <v>3920.98250941368</v>
      </c>
      <c r="O32" s="39" t="n">
        <f aca="false">IF((I32/$K$26)/(N32/4096)*100 &gt; 100, 100, (I32/$K$26)/(N32/4096)*100)</f>
        <v>98.4954026191139</v>
      </c>
      <c r="P32" s="40" t="n">
        <f aca="false">(IF(((O32/100)*(460)+50)&lt;510,((O32/100)*(460)+50),510))/100</f>
        <v>5.03078852047924</v>
      </c>
    </row>
    <row r="33" customFormat="false" ht="13.8" hidden="false" customHeight="false" outlineLevel="0" collapsed="false">
      <c r="A33" s="0" t="s">
        <v>102</v>
      </c>
      <c r="C33" s="0" t="s">
        <v>103</v>
      </c>
      <c r="I33" s="37" t="n">
        <f aca="false">IF(($L$18-(1.4*($K$18-$I$11))-$J$11)&lt;0, 0, ($L$18-(1.4*($K$18-$I$11))-$J$11))</f>
        <v>989.799999999999</v>
      </c>
      <c r="J33" s="38" t="n">
        <f aca="false">IF(($M$18-(1.05*($K$18-$I$11))-$K$11)&lt;0, 0, ($M$18-(1.05*($K$18-$I$11))-$K$11))</f>
        <v>904.85</v>
      </c>
      <c r="K33" s="38" t="n">
        <f aca="false">($L$26*(I33/J33)-6.3)*4096</f>
        <v>3913.51689068995</v>
      </c>
      <c r="L33" s="38" t="n">
        <f aca="false">IF(K33&lt;0,3535+K33,K33)</f>
        <v>3913.51689068995</v>
      </c>
      <c r="M33" s="38" t="n">
        <f aca="false">IF(L33 &lt; $N$26,$N$26,L33)</f>
        <v>3920.98250941368</v>
      </c>
      <c r="N33" s="38" t="n">
        <f aca="false">IF(OR(I33&lt;$M$26,J33=0),(N32),((N32*3)+M33)/4)</f>
        <v>3920.98250941368</v>
      </c>
      <c r="O33" s="39" t="n">
        <f aca="false">IF((I33/$K$26)/(N33/4096)*100 &gt; 100, 100, (I33/$K$26)/(N33/4096)*100)</f>
        <v>98.4954026191139</v>
      </c>
      <c r="P33" s="40" t="n">
        <f aca="false">(IF(((O33/100)*(460)+50)&lt;510,((O33/100)*(460)+50),510))/100</f>
        <v>5.03078852047924</v>
      </c>
    </row>
    <row r="34" customFormat="false" ht="13.8" hidden="false" customHeight="false" outlineLevel="0" collapsed="false">
      <c r="A34" s="0" t="s">
        <v>104</v>
      </c>
      <c r="B34" s="0" t="s">
        <v>105</v>
      </c>
      <c r="I34" s="37" t="n">
        <f aca="false">IF(($L$18-(1.4*($K$18-$I$11))-$J$11)&lt;0, 0, ($L$18-(1.4*($K$18-$I$11))-$J$11))</f>
        <v>989.799999999999</v>
      </c>
      <c r="J34" s="38" t="n">
        <f aca="false">IF(($M$18-(1.05*($K$18-$I$11))-$K$11)&lt;0, 0, ($M$18-(1.05*($K$18-$I$11))-$K$11))</f>
        <v>904.85</v>
      </c>
      <c r="K34" s="38" t="n">
        <f aca="false">($L$26*(I34/J34)-6.3)*4096</f>
        <v>3913.51689068995</v>
      </c>
      <c r="L34" s="38" t="n">
        <f aca="false">IF(K34&lt;0,3535+K34,K34)</f>
        <v>3913.51689068995</v>
      </c>
      <c r="M34" s="38" t="n">
        <f aca="false">IF(L34 &lt; $N$26,$N$26,L34)</f>
        <v>3920.98250941368</v>
      </c>
      <c r="N34" s="38" t="n">
        <f aca="false">IF(OR(I34&lt;$M$26,J34=0),(N33),((N33*3)+M34)/4)</f>
        <v>3920.98250941368</v>
      </c>
      <c r="O34" s="39" t="n">
        <f aca="false">IF((I34/$K$26)/(N34/4096)*100 &gt; 100, 100, (I34/$K$26)/(N34/4096)*100)</f>
        <v>98.4954026191139</v>
      </c>
      <c r="P34" s="40" t="n">
        <f aca="false">(IF(((O34/100)*(460)+50)&lt;510,((O34/100)*(460)+50),510))/100</f>
        <v>5.03078852047924</v>
      </c>
    </row>
    <row r="35" customFormat="false" ht="13.8" hidden="false" customHeight="false" outlineLevel="0" collapsed="false">
      <c r="I35" s="37" t="n">
        <f aca="false">IF(($L$18-(1.4*($K$18-$I$11))-$J$11)&lt;0, 0, ($L$18-(1.4*($K$18-$I$11))-$J$11))</f>
        <v>989.799999999999</v>
      </c>
      <c r="J35" s="38" t="n">
        <f aca="false">IF(($M$18-(1.05*($K$18-$I$11))-$K$11)&lt;0, 0, ($M$18-(1.05*($K$18-$I$11))-$K$11))</f>
        <v>904.85</v>
      </c>
      <c r="K35" s="38" t="n">
        <f aca="false">($L$26*(I35/J35)-6.3)*4096</f>
        <v>3913.51689068995</v>
      </c>
      <c r="L35" s="38" t="n">
        <f aca="false">IF(K35&lt;0,3535+K35,K35)</f>
        <v>3913.51689068995</v>
      </c>
      <c r="M35" s="38" t="n">
        <f aca="false">IF(L35 &lt; $N$26,$N$26,L35)</f>
        <v>3920.98250941368</v>
      </c>
      <c r="N35" s="38" t="n">
        <f aca="false">IF(OR(I35&lt;$M$26,J35=0),(N34),((N34*3)+M35)/4)</f>
        <v>3920.98250941368</v>
      </c>
      <c r="O35" s="39" t="n">
        <f aca="false">IF((I35/$K$26)/(N35/4096)*100 &gt; 100, 100, (I35/$K$26)/(N35/4096)*100)</f>
        <v>98.4954026191139</v>
      </c>
      <c r="P35" s="40" t="n">
        <f aca="false">(IF(((O35/100)*(460)+50)&lt;510,((O35/100)*(460)+50),510))/100</f>
        <v>5.03078852047924</v>
      </c>
    </row>
    <row r="36" customFormat="false" ht="13.8" hidden="false" customHeight="false" outlineLevel="0" collapsed="false">
      <c r="A36" s="0" t="s">
        <v>106</v>
      </c>
      <c r="B36" s="0" t="s">
        <v>107</v>
      </c>
      <c r="I36" s="37" t="n">
        <f aca="false">IF(($L$18-(1.4*($K$18-$I$11))-$J$11)&lt;0, 0, ($L$18-(1.4*($K$18-$I$11))-$J$11))</f>
        <v>989.799999999999</v>
      </c>
      <c r="J36" s="38" t="n">
        <f aca="false">IF(($M$18-(1.05*($K$18-$I$11))-$K$11)&lt;0, 0, ($M$18-(1.05*($K$18-$I$11))-$K$11))</f>
        <v>904.85</v>
      </c>
      <c r="K36" s="38" t="n">
        <f aca="false">($L$26*(I36/J36)-6.3)*4096</f>
        <v>3913.51689068995</v>
      </c>
      <c r="L36" s="38" t="n">
        <f aca="false">IF(K36&lt;0,3535+K36,K36)</f>
        <v>3913.51689068995</v>
      </c>
      <c r="M36" s="38" t="n">
        <f aca="false">IF(L36 &lt; $N$26,$N$26,L36)</f>
        <v>3920.98250941368</v>
      </c>
      <c r="N36" s="38" t="n">
        <f aca="false">IF(OR(I36&lt;$M$26,J36=0),(N35),((N35*3)+M36)/4)</f>
        <v>3920.98250941368</v>
      </c>
      <c r="O36" s="39" t="n">
        <f aca="false">IF((I36/$K$26)/(N36/4096)*100 &gt; 100, 100, (I36/$K$26)/(N36/4096)*100)</f>
        <v>98.4954026191139</v>
      </c>
      <c r="P36" s="40" t="n">
        <f aca="false">(IF(((O36/100)*(460)+50)&lt;510,((O36/100)*(460)+50),510))/100</f>
        <v>5.03078852047924</v>
      </c>
    </row>
    <row r="37" customFormat="false" ht="13.8" hidden="false" customHeight="false" outlineLevel="0" collapsed="false">
      <c r="A37" s="0" t="s">
        <v>108</v>
      </c>
      <c r="B37" s="0" t="s">
        <v>109</v>
      </c>
      <c r="I37" s="37" t="n">
        <f aca="false">IF(($L$18-(1.4*($K$18-$I$11))-$J$11)&lt;0, 0, ($L$18-(1.4*($K$18-$I$11))-$J$11))</f>
        <v>989.799999999999</v>
      </c>
      <c r="J37" s="38" t="n">
        <f aca="false">IF(($M$18-(1.05*($K$18-$I$11))-$K$11)&lt;0, 0, ($M$18-(1.05*($K$18-$I$11))-$K$11))</f>
        <v>904.85</v>
      </c>
      <c r="K37" s="38" t="n">
        <f aca="false">($L$26*(I37/J37)-6.3)*4096</f>
        <v>3913.51689068995</v>
      </c>
      <c r="L37" s="38" t="n">
        <f aca="false">IF(K37&lt;0,3535+K37,K37)</f>
        <v>3913.51689068995</v>
      </c>
      <c r="M37" s="38" t="n">
        <f aca="false">IF(L37 &lt; $N$26,$N$26,L37)</f>
        <v>3920.98250941368</v>
      </c>
      <c r="N37" s="38" t="n">
        <f aca="false">IF(OR(I37&lt;$M$26,J37=0),(N36),((N36*3)+M37)/4)</f>
        <v>3920.98250941368</v>
      </c>
      <c r="O37" s="39" t="n">
        <f aca="false">IF((I37/$K$26)/(N37/4096)*100 &gt; 100, 100, (I37/$K$26)/(N37/4096)*100)</f>
        <v>98.4954026191139</v>
      </c>
      <c r="P37" s="40" t="n">
        <f aca="false">(IF(((O37/100)*(460)+50)&lt;510,((O37/100)*(460)+50),510))/100</f>
        <v>5.03078852047924</v>
      </c>
    </row>
    <row r="38" customFormat="false" ht="13.8" hidden="false" customHeight="false" outlineLevel="0" collapsed="false">
      <c r="I38" s="37" t="n">
        <f aca="false">IF(($L$18-(1.4*($K$18-$I$11))-$J$11)&lt;0, 0, ($L$18-(1.4*($K$18-$I$11))-$J$11))</f>
        <v>989.799999999999</v>
      </c>
      <c r="J38" s="38" t="n">
        <f aca="false">IF(($M$18-(1.05*($K$18-$I$11))-$K$11)&lt;0, 0, ($M$18-(1.05*($K$18-$I$11))-$K$11))</f>
        <v>904.85</v>
      </c>
      <c r="K38" s="38" t="n">
        <f aca="false">($L$26*(I38/J38)-6.3)*4096</f>
        <v>3913.51689068995</v>
      </c>
      <c r="L38" s="38" t="n">
        <f aca="false">IF(K38&lt;0,3535+K38,K38)</f>
        <v>3913.51689068995</v>
      </c>
      <c r="M38" s="38" t="n">
        <f aca="false">IF(L38 &lt; $N$26,$N$26,L38)</f>
        <v>3920.98250941368</v>
      </c>
      <c r="N38" s="38" t="n">
        <f aca="false">IF(OR(I38&lt;$M$26,J38=0),(N37),((N37*3)+M38)/4)</f>
        <v>3920.98250941368</v>
      </c>
      <c r="O38" s="39" t="n">
        <f aca="false">IF((I38/$K$26)/(N38/4096)*100 &gt; 100, 100, (I38/$K$26)/(N38/4096)*100)</f>
        <v>98.4954026191139</v>
      </c>
      <c r="P38" s="40" t="n">
        <f aca="false">(IF(((O38/100)*(460)+50)&lt;510,((O38/100)*(460)+50),510))/100</f>
        <v>5.03078852047924</v>
      </c>
    </row>
    <row r="39" customFormat="false" ht="13.8" hidden="false" customHeight="false" outlineLevel="0" collapsed="false">
      <c r="A39" s="0" t="s">
        <v>110</v>
      </c>
      <c r="B39" s="0" t="s">
        <v>111</v>
      </c>
      <c r="I39" s="37" t="n">
        <f aca="false">IF(($L$18-(1.4*($K$18-$I$11))-$J$11)&lt;0, 0, ($L$18-(1.4*($K$18-$I$11))-$J$11))</f>
        <v>989.799999999999</v>
      </c>
      <c r="J39" s="38" t="n">
        <f aca="false">IF(($M$18-(1.05*($K$18-$I$11))-$K$11)&lt;0, 0, ($M$18-(1.05*($K$18-$I$11))-$K$11))</f>
        <v>904.85</v>
      </c>
      <c r="K39" s="38" t="n">
        <f aca="false">($L$26*(I39/J39)-6.3)*4096</f>
        <v>3913.51689068995</v>
      </c>
      <c r="L39" s="38" t="n">
        <f aca="false">IF(K39&lt;0,3535+K39,K39)</f>
        <v>3913.51689068995</v>
      </c>
      <c r="M39" s="38" t="n">
        <f aca="false">IF(L39 &lt; $N$26,$N$26,L39)</f>
        <v>3920.98250941368</v>
      </c>
      <c r="N39" s="38" t="n">
        <f aca="false">IF(OR(I39&lt;$M$26,J39=0),(N38),((N38*3)+M39)/4)</f>
        <v>3920.98250941368</v>
      </c>
      <c r="O39" s="39" t="n">
        <f aca="false">IF((I39/$K$26)/(N39/4096)*100 &gt; 100, 100, (I39/$K$26)/(N39/4096)*100)</f>
        <v>98.4954026191139</v>
      </c>
      <c r="P39" s="40" t="n">
        <f aca="false">(IF(((O39/100)*(460)+50)&lt;510,((O39/100)*(460)+50),510))/100</f>
        <v>5.03078852047924</v>
      </c>
    </row>
    <row r="40" customFormat="false" ht="13.8" hidden="false" customHeight="false" outlineLevel="0" collapsed="false">
      <c r="I40" s="37" t="n">
        <f aca="false">IF(($L$18-(1.4*($K$18-$I$11))-$J$11)&lt;0, 0, ($L$18-(1.4*($K$18-$I$11))-$J$11))</f>
        <v>989.799999999999</v>
      </c>
      <c r="J40" s="38" t="n">
        <f aca="false">IF(($M$18-(1.05*($K$18-$I$11))-$K$11)&lt;0, 0, ($M$18-(1.05*($K$18-$I$11))-$K$11))</f>
        <v>904.85</v>
      </c>
      <c r="K40" s="38" t="n">
        <f aca="false">($L$26*(I40/J40)-6.3)*4096</f>
        <v>3913.51689068995</v>
      </c>
      <c r="L40" s="38" t="n">
        <f aca="false">IF(K40&lt;0,3535+K40,K40)</f>
        <v>3913.51689068995</v>
      </c>
      <c r="M40" s="38" t="n">
        <f aca="false">IF(L40 &lt; $N$26,$N$26,L40)</f>
        <v>3920.98250941368</v>
      </c>
      <c r="N40" s="38" t="n">
        <f aca="false">IF(OR(I40&lt;$M$26,J40=0),(N39),((N39*3)+M40)/4)</f>
        <v>3920.98250941368</v>
      </c>
      <c r="O40" s="39" t="n">
        <f aca="false">IF((I40/$K$26)/(N40/4096)*100 &gt; 100, 100, (I40/$K$26)/(N40/4096)*100)</f>
        <v>98.4954026191139</v>
      </c>
      <c r="P40" s="40" t="n">
        <f aca="false">(IF(((O40/100)*(460)+50)&lt;510,((O40/100)*(460)+50),510))/100</f>
        <v>5.03078852047924</v>
      </c>
    </row>
    <row r="41" customFormat="false" ht="13.8" hidden="false" customHeight="false" outlineLevel="0" collapsed="false">
      <c r="A41" s="0" t="s">
        <v>112</v>
      </c>
      <c r="B41" s="0" t="s">
        <v>113</v>
      </c>
      <c r="F41" s="29"/>
      <c r="G41" s="29"/>
      <c r="I41" s="37" t="n">
        <f aca="false">IF(($L$18-(1.4*($K$18-$I$11))-$J$11)&lt;0, 0, ($L$18-(1.4*($K$18-$I$11))-$J$11))</f>
        <v>989.799999999999</v>
      </c>
      <c r="J41" s="38" t="n">
        <f aca="false">IF(($M$18-(1.05*($K$18-$I$11))-$K$11)&lt;0, 0, ($M$18-(1.05*($K$18-$I$11))-$K$11))</f>
        <v>904.85</v>
      </c>
      <c r="K41" s="38" t="n">
        <f aca="false">($L$26*(I41/J41)-6.3)*4096</f>
        <v>3913.51689068995</v>
      </c>
      <c r="L41" s="38" t="n">
        <f aca="false">IF(K41&lt;0,3535+K41,K41)</f>
        <v>3913.51689068995</v>
      </c>
      <c r="M41" s="38" t="n">
        <f aca="false">IF(L41 &lt; $N$26,$N$26,L41)</f>
        <v>3920.98250941368</v>
      </c>
      <c r="N41" s="38" t="n">
        <f aca="false">IF(OR(I41&lt;$M$26,J41=0),(N40),((N40*3)+M41)/4)</f>
        <v>3920.98250941368</v>
      </c>
      <c r="O41" s="39" t="n">
        <f aca="false">IF((I41/$K$26)/(N41/4096)*100 &gt; 100, 100, (I41/$K$26)/(N41/4096)*100)</f>
        <v>98.4954026191139</v>
      </c>
      <c r="P41" s="40" t="n">
        <f aca="false">(IF(((O41/100)*(460)+50)&lt;510,((O41/100)*(460)+50),510))/100</f>
        <v>5.03078852047924</v>
      </c>
    </row>
    <row r="42" customFormat="false" ht="13.8" hidden="false" customHeight="false" outlineLevel="0" collapsed="false">
      <c r="I42" s="37" t="n">
        <f aca="false">IF(($L$18-(1.4*($K$18-$I$11))-$J$11)&lt;0, 0, ($L$18-(1.4*($K$18-$I$11))-$J$11))</f>
        <v>989.799999999999</v>
      </c>
      <c r="J42" s="38" t="n">
        <f aca="false">IF(($M$18-(1.05*($K$18-$I$11))-$K$11)&lt;0, 0, ($M$18-(1.05*($K$18-$I$11))-$K$11))</f>
        <v>904.85</v>
      </c>
      <c r="K42" s="38" t="n">
        <f aca="false">($L$26*(I42/J42)-6.3)*4096</f>
        <v>3913.51689068995</v>
      </c>
      <c r="L42" s="38" t="n">
        <f aca="false">IF(K42&lt;0,3535+K42,K42)</f>
        <v>3913.51689068995</v>
      </c>
      <c r="M42" s="38" t="n">
        <f aca="false">IF(L42 &lt; $N$26,$N$26,L42)</f>
        <v>3920.98250941368</v>
      </c>
      <c r="N42" s="38" t="n">
        <f aca="false">IF(OR(I42&lt;$M$26,J42=0),(N41),((N41*3)+M42)/4)</f>
        <v>3920.98250941368</v>
      </c>
      <c r="O42" s="39" t="n">
        <f aca="false">IF((I42/$K$26)/(N42/4096)*100 &gt; 100, 100, (I42/$K$26)/(N42/4096)*100)</f>
        <v>98.4954026191139</v>
      </c>
      <c r="P42" s="40" t="n">
        <f aca="false">(IF(((O42/100)*(460)+50)&lt;510,((O42/100)*(460)+50),510))/100</f>
        <v>5.03078852047924</v>
      </c>
    </row>
    <row r="43" customFormat="false" ht="13.8" hidden="false" customHeight="false" outlineLevel="0" collapsed="false">
      <c r="I43" s="37" t="n">
        <f aca="false">IF(($L$18-(1.4*($K$18-$I$11))-$J$11)&lt;0, 0, ($L$18-(1.4*($K$18-$I$11))-$J$11))</f>
        <v>989.799999999999</v>
      </c>
      <c r="J43" s="38" t="n">
        <f aca="false">IF(($M$18-(1.05*($K$18-$I$11))-$K$11)&lt;0, 0, ($M$18-(1.05*($K$18-$I$11))-$K$11))</f>
        <v>904.85</v>
      </c>
      <c r="K43" s="38" t="n">
        <f aca="false">($L$26*(I43/J43)-6.3)*4096</f>
        <v>3913.51689068995</v>
      </c>
      <c r="L43" s="38" t="n">
        <f aca="false">IF(K43&lt;0,3535+K43,K43)</f>
        <v>3913.51689068995</v>
      </c>
      <c r="M43" s="38" t="n">
        <f aca="false">IF(L43 &lt; $N$26,$N$26,L43)</f>
        <v>3920.98250941368</v>
      </c>
      <c r="N43" s="38" t="n">
        <f aca="false">IF(OR(I43&lt;$M$26,J43=0),(N42),((N42*3)+M43)/4)</f>
        <v>3920.98250941368</v>
      </c>
      <c r="O43" s="39" t="n">
        <f aca="false">IF((I43/$K$26)/(N43/4096)*100 &gt; 100, 100, (I43/$K$26)/(N43/4096)*100)</f>
        <v>98.4954026191139</v>
      </c>
      <c r="P43" s="40" t="n">
        <f aca="false">(IF(((O43/100)*(460)+50)&lt;510,((O43/100)*(460)+50),510))/100</f>
        <v>5.03078852047924</v>
      </c>
    </row>
    <row r="44" customFormat="false" ht="13.8" hidden="false" customHeight="false" outlineLevel="0" collapsed="false">
      <c r="I44" s="37" t="n">
        <f aca="false">IF(($L$18-(1.4*($K$18-$I$11))-$J$11)&lt;0, 0, ($L$18-(1.4*($K$18-$I$11))-$J$11))</f>
        <v>989.799999999999</v>
      </c>
      <c r="J44" s="38" t="n">
        <f aca="false">IF(($M$18-(1.05*($K$18-$I$11))-$K$11)&lt;0, 0, ($M$18-(1.05*($K$18-$I$11))-$K$11))</f>
        <v>904.85</v>
      </c>
      <c r="K44" s="38" t="n">
        <f aca="false">($L$26*(I44/J44)-6.3)*4096</f>
        <v>3913.51689068995</v>
      </c>
      <c r="L44" s="38" t="n">
        <f aca="false">IF(K44&lt;0,3535+K44,K44)</f>
        <v>3913.51689068995</v>
      </c>
      <c r="M44" s="38" t="n">
        <f aca="false">IF(L44 &lt; $N$26,$N$26,L44)</f>
        <v>3920.98250941368</v>
      </c>
      <c r="N44" s="38" t="n">
        <f aca="false">IF(OR(I44&lt;$M$26,J44=0),(N43),((N43*3)+M44)/4)</f>
        <v>3920.98250941368</v>
      </c>
      <c r="O44" s="39" t="n">
        <f aca="false">IF((I44/$K$26)/(N44/4096)*100 &gt; 100, 100, (I44/$K$26)/(N44/4096)*100)</f>
        <v>98.4954026191139</v>
      </c>
      <c r="P44" s="40" t="n">
        <f aca="false">(IF(((O44/100)*(460)+50)&lt;510,((O44/100)*(460)+50),510))/100</f>
        <v>5.03078852047924</v>
      </c>
    </row>
    <row r="45" customFormat="false" ht="13.8" hidden="false" customHeight="false" outlineLevel="0" collapsed="false">
      <c r="I45" s="37" t="n">
        <f aca="false">IF(($L$18-(1.4*($K$18-$I$11))-$J$11)&lt;0, 0, ($L$18-(1.4*($K$18-$I$11))-$J$11))</f>
        <v>989.799999999999</v>
      </c>
      <c r="J45" s="38" t="n">
        <f aca="false">IF(($M$18-(1.05*($K$18-$I$11))-$K$11)&lt;0, 0, ($M$18-(1.05*($K$18-$I$11))-$K$11))</f>
        <v>904.85</v>
      </c>
      <c r="K45" s="38" t="n">
        <f aca="false">($L$26*(I45/J45)-6.3)*4096</f>
        <v>3913.51689068995</v>
      </c>
      <c r="L45" s="38" t="n">
        <f aca="false">IF(K45&lt;0,3535+K45,K45)</f>
        <v>3913.51689068995</v>
      </c>
      <c r="M45" s="38" t="n">
        <f aca="false">IF(L45 &lt; $N$26,$N$26,L45)</f>
        <v>3920.98250941368</v>
      </c>
      <c r="N45" s="38" t="n">
        <f aca="false">IF(OR(I45&lt;$M$26,J45=0),(N44),((N44*3)+M45)/4)</f>
        <v>3920.98250941368</v>
      </c>
      <c r="O45" s="39" t="n">
        <f aca="false">IF((I45/$K$26)/(N45/4096)*100 &gt; 100, 100, (I45/$K$26)/(N45/4096)*100)</f>
        <v>98.4954026191139</v>
      </c>
      <c r="P45" s="40" t="n">
        <f aca="false">(IF(((O45/100)*(460)+50)&lt;510,((O45/100)*(460)+50),510))/100</f>
        <v>5.03078852047924</v>
      </c>
    </row>
    <row r="46" customFormat="false" ht="13.8" hidden="false" customHeight="false" outlineLevel="0" collapsed="false">
      <c r="I46" s="37" t="n">
        <f aca="false">IF(($L$18-(1.4*($K$18-$I$11))-$J$11)&lt;0, 0, ($L$18-(1.4*($K$18-$I$11))-$J$11))</f>
        <v>989.799999999999</v>
      </c>
      <c r="J46" s="38" t="n">
        <f aca="false">IF(($M$18-(1.05*($K$18-$I$11))-$K$11)&lt;0, 0, ($M$18-(1.05*($K$18-$I$11))-$K$11))</f>
        <v>904.85</v>
      </c>
      <c r="K46" s="38" t="n">
        <f aca="false">($L$26*(I46/J46)-6.3)*4096</f>
        <v>3913.51689068995</v>
      </c>
      <c r="L46" s="38" t="n">
        <f aca="false">IF(K46&lt;0,3535+K46,K46)</f>
        <v>3913.51689068995</v>
      </c>
      <c r="M46" s="38" t="n">
        <f aca="false">IF(L46 &lt; $N$26,$N$26,L46)</f>
        <v>3920.98250941368</v>
      </c>
      <c r="N46" s="38" t="n">
        <f aca="false">IF(OR(I46&lt;$M$26,J46=0),(N45),((N45*3)+M46)/4)</f>
        <v>3920.98250941368</v>
      </c>
      <c r="O46" s="39" t="n">
        <f aca="false">IF((I46/$K$26)/(N46/4096)*100 &gt; 100, 100, (I46/$K$26)/(N46/4096)*100)</f>
        <v>98.4954026191139</v>
      </c>
      <c r="P46" s="40" t="n">
        <f aca="false">(IF(((O46/100)*(460)+50)&lt;510,((O46/100)*(460)+50),510))/100</f>
        <v>5.03078852047924</v>
      </c>
    </row>
    <row r="47" customFormat="false" ht="13.8" hidden="false" customHeight="false" outlineLevel="0" collapsed="false">
      <c r="I47" s="37" t="n">
        <f aca="false">IF(($L$18-(1.4*($K$18-$I$11))-$J$11)&lt;0, 0, ($L$18-(1.4*($K$18-$I$11))-$J$11))</f>
        <v>989.799999999999</v>
      </c>
      <c r="J47" s="38" t="n">
        <f aca="false">IF(($M$18-(1.05*($K$18-$I$11))-$K$11)&lt;0, 0, ($M$18-(1.05*($K$18-$I$11))-$K$11))</f>
        <v>904.85</v>
      </c>
      <c r="K47" s="38" t="n">
        <f aca="false">($L$26*(I47/J47)-6.3)*4096</f>
        <v>3913.51689068995</v>
      </c>
      <c r="L47" s="38" t="n">
        <f aca="false">IF(K47&lt;0,3535+K47,K47)</f>
        <v>3913.51689068995</v>
      </c>
      <c r="M47" s="38" t="n">
        <f aca="false">IF(L47 &lt; $N$26,$N$26,L47)</f>
        <v>3920.98250941368</v>
      </c>
      <c r="N47" s="38" t="n">
        <f aca="false">IF(OR(I47&lt;$M$26,J47=0),(N46),((N46*3)+M47)/4)</f>
        <v>3920.98250941368</v>
      </c>
      <c r="O47" s="39" t="n">
        <f aca="false">IF((I47/$K$26)/(N47/4096)*100 &gt; 100, 100, (I47/$K$26)/(N47/4096)*100)</f>
        <v>98.4954026191139</v>
      </c>
      <c r="P47" s="40" t="n">
        <f aca="false">(IF(((O47/100)*(460)+50)&lt;510,((O47/100)*(460)+50),510))/100</f>
        <v>5.03078852047924</v>
      </c>
    </row>
    <row r="48" customFormat="false" ht="13.8" hidden="false" customHeight="false" outlineLevel="0" collapsed="false">
      <c r="I48" s="37" t="n">
        <f aca="false">IF(($L$18-(1.4*($K$18-$I$11))-$J$11)&lt;0, 0, ($L$18-(1.4*($K$18-$I$11))-$J$11))</f>
        <v>989.799999999999</v>
      </c>
      <c r="J48" s="38" t="n">
        <f aca="false">IF(($M$18-(1.05*($K$18-$I$11))-$K$11)&lt;0, 0, ($M$18-(1.05*($K$18-$I$11))-$K$11))</f>
        <v>904.85</v>
      </c>
      <c r="K48" s="38" t="n">
        <f aca="false">($L$26*(I48/J48)-6.3)*4096</f>
        <v>3913.51689068995</v>
      </c>
      <c r="L48" s="38" t="n">
        <f aca="false">IF(K48&lt;0,3535+K48,K48)</f>
        <v>3913.51689068995</v>
      </c>
      <c r="M48" s="38" t="n">
        <f aca="false">IF(L48 &lt; $N$26,$N$26,L48)</f>
        <v>3920.98250941368</v>
      </c>
      <c r="N48" s="38" t="n">
        <f aca="false">IF(OR(I48&lt;$M$26,J48=0),(N47),((N47*3)+M48)/4)</f>
        <v>3920.98250941368</v>
      </c>
      <c r="O48" s="39" t="n">
        <f aca="false">IF((I48/$K$26)/(N48/4096)*100 &gt; 100, 100, (I48/$K$26)/(N48/4096)*100)</f>
        <v>98.4954026191139</v>
      </c>
      <c r="P48" s="40" t="n">
        <f aca="false">(IF(((O48/100)*(460)+50)&lt;510,((O48/100)*(460)+50),510))/100</f>
        <v>5.03078852047924</v>
      </c>
    </row>
    <row r="49" customFormat="false" ht="13.8" hidden="false" customHeight="false" outlineLevel="0" collapsed="false">
      <c r="I49" s="37" t="n">
        <f aca="false">IF(($L$18-(1.4*($K$18-$I$11))-$J$11)&lt;0, 0, ($L$18-(1.4*($K$18-$I$11))-$J$11))</f>
        <v>989.799999999999</v>
      </c>
      <c r="J49" s="38" t="n">
        <f aca="false">IF(($M$18-(1.05*($K$18-$I$11))-$K$11)&lt;0, 0, ($M$18-(1.05*($K$18-$I$11))-$K$11))</f>
        <v>904.85</v>
      </c>
      <c r="K49" s="38" t="n">
        <f aca="false">($L$26*(I49/J49)-6.3)*4096</f>
        <v>3913.51689068995</v>
      </c>
      <c r="L49" s="38" t="n">
        <f aca="false">IF(K49&lt;0,3535+K49,K49)</f>
        <v>3913.51689068995</v>
      </c>
      <c r="M49" s="38" t="n">
        <f aca="false">IF(L49 &lt; $N$26,$N$26,L49)</f>
        <v>3920.98250941368</v>
      </c>
      <c r="N49" s="38" t="n">
        <f aca="false">IF(OR(I49&lt;$M$26,J49=0),(N48),((N48*3)+M49)/4)</f>
        <v>3920.98250941368</v>
      </c>
      <c r="O49" s="39" t="n">
        <f aca="false">IF((I49/$K$26)/(N49/4096)*100 &gt; 100, 100, (I49/$K$26)/(N49/4096)*100)</f>
        <v>98.4954026191139</v>
      </c>
      <c r="P49" s="40" t="n">
        <f aca="false">(IF(((O49/100)*(460)+50)&lt;510,((O49/100)*(460)+50),510))/100</f>
        <v>5.03078852047924</v>
      </c>
    </row>
    <row r="50" customFormat="false" ht="13.8" hidden="false" customHeight="false" outlineLevel="0" collapsed="false">
      <c r="I50" s="37" t="n">
        <f aca="false">IF(($L$18-(1.4*($K$18-$I$11))-$J$11)&lt;0, 0, ($L$18-(1.4*($K$18-$I$11))-$J$11))</f>
        <v>989.799999999999</v>
      </c>
      <c r="J50" s="38" t="n">
        <f aca="false">IF(($M$18-(1.05*($K$18-$I$11))-$K$11)&lt;0, 0, ($M$18-(1.05*($K$18-$I$11))-$K$11))</f>
        <v>904.85</v>
      </c>
      <c r="K50" s="38" t="n">
        <f aca="false">($L$26*(I50/J50)-6.3)*4096</f>
        <v>3913.51689068995</v>
      </c>
      <c r="L50" s="38" t="n">
        <f aca="false">IF(K50&lt;0,3535+K50,K50)</f>
        <v>3913.51689068995</v>
      </c>
      <c r="M50" s="38" t="n">
        <f aca="false">IF(L50 &lt; $N$26,$N$26,L50)</f>
        <v>3920.98250941368</v>
      </c>
      <c r="N50" s="38" t="n">
        <f aca="false">IF(OR(I50&lt;$M$26,J50=0),(N49),((N49*3)+M50)/4)</f>
        <v>3920.98250941368</v>
      </c>
      <c r="O50" s="39" t="n">
        <f aca="false">IF((I50/$K$26)/(N50/4096)*100 &gt; 100, 100, (I50/$K$26)/(N50/4096)*100)</f>
        <v>98.4954026191139</v>
      </c>
      <c r="P50" s="40" t="n">
        <f aca="false">(IF(((O50/100)*(460)+50)&lt;510,((O50/100)*(460)+50),510))/100</f>
        <v>5.03078852047924</v>
      </c>
    </row>
    <row r="51" customFormat="false" ht="13.8" hidden="false" customHeight="false" outlineLevel="0" collapsed="false">
      <c r="I51" s="37" t="n">
        <f aca="false">IF(($L$18-(1.4*($K$18-$I$11))-$J$11)&lt;0, 0, ($L$18-(1.4*($K$18-$I$11))-$J$11))</f>
        <v>989.799999999999</v>
      </c>
      <c r="J51" s="38" t="n">
        <f aca="false">IF(($M$18-(1.05*($K$18-$I$11))-$K$11)&lt;0, 0, ($M$18-(1.05*($K$18-$I$11))-$K$11))</f>
        <v>904.85</v>
      </c>
      <c r="K51" s="38" t="n">
        <f aca="false">($L$26*(I51/J51)-6.3)*4096</f>
        <v>3913.51689068995</v>
      </c>
      <c r="L51" s="38" t="n">
        <f aca="false">IF(K51&lt;0,3535+K51,K51)</f>
        <v>3913.51689068995</v>
      </c>
      <c r="M51" s="38" t="n">
        <f aca="false">IF(L51 &lt; $N$26,$N$26,L51)</f>
        <v>3920.98250941368</v>
      </c>
      <c r="N51" s="38" t="n">
        <f aca="false">IF(OR(I51&lt;$M$26,J51=0),(N50),((N50*3)+M51)/4)</f>
        <v>3920.98250941368</v>
      </c>
      <c r="O51" s="39" t="n">
        <f aca="false">IF((I51/$K$26)/(N51/4096)*100 &gt; 100, 100, (I51/$K$26)/(N51/4096)*100)</f>
        <v>98.4954026191139</v>
      </c>
      <c r="P51" s="40" t="n">
        <f aca="false">(IF(((O51/100)*(460)+50)&lt;510,((O51/100)*(460)+50),510))/100</f>
        <v>5.03078852047924</v>
      </c>
    </row>
    <row r="52" customFormat="false" ht="13.8" hidden="false" customHeight="false" outlineLevel="0" collapsed="false">
      <c r="I52" s="37" t="n">
        <f aca="false">IF(($L$18-(1.4*($K$18-$I$11))-$J$11)&lt;0, 0, ($L$18-(1.4*($K$18-$I$11))-$J$11))</f>
        <v>989.799999999999</v>
      </c>
      <c r="J52" s="38" t="n">
        <f aca="false">IF(($M$18-(1.05*($K$18-$I$11))-$K$11)&lt;0, 0, ($M$18-(1.05*($K$18-$I$11))-$K$11))</f>
        <v>904.85</v>
      </c>
      <c r="K52" s="38" t="n">
        <f aca="false">($L$26*(I52/J52)-6.3)*4096</f>
        <v>3913.51689068995</v>
      </c>
      <c r="L52" s="38" t="n">
        <f aca="false">IF(K52&lt;0,3535+K52,K52)</f>
        <v>3913.51689068995</v>
      </c>
      <c r="M52" s="38" t="n">
        <f aca="false">IF(L52 &lt; $N$26,$N$26,L52)</f>
        <v>3920.98250941368</v>
      </c>
      <c r="N52" s="38" t="n">
        <f aca="false">IF(OR(I52&lt;$M$26,J52=0),(N51),((N51*3)+M52)/4)</f>
        <v>3920.98250941368</v>
      </c>
      <c r="O52" s="39" t="n">
        <f aca="false">IF((I52/$K$26)/(N52/4096)*100 &gt; 100, 100, (I52/$K$26)/(N52/4096)*100)</f>
        <v>98.4954026191139</v>
      </c>
      <c r="P52" s="40" t="n">
        <f aca="false">(IF(((O52/100)*(460)+50)&lt;510,((O52/100)*(460)+50),510))/100</f>
        <v>5.03078852047924</v>
      </c>
    </row>
    <row r="53" customFormat="false" ht="13.8" hidden="false" customHeight="false" outlineLevel="0" collapsed="false">
      <c r="I53" s="41" t="n">
        <f aca="false">IF(($L$18-(1.4*($K$18-$I$11))-$J$11)&lt;0, 0, ($L$18-(1.4*($K$18-$I$11))-$J$11))</f>
        <v>989.799999999999</v>
      </c>
      <c r="J53" s="42" t="n">
        <f aca="false">IF(($M$18-(1.05*($K$18-$I$11))-$K$11)&lt;0, 0, ($M$18-(1.05*($K$18-$I$11))-$K$11))</f>
        <v>904.85</v>
      </c>
      <c r="K53" s="42" t="n">
        <f aca="false">($L$26*(I53/J53)-6.3)*4096</f>
        <v>3913.51689068995</v>
      </c>
      <c r="L53" s="38" t="n">
        <f aca="false">IF(K53&lt;0,3535+K53,K53)</f>
        <v>3913.51689068995</v>
      </c>
      <c r="M53" s="42" t="n">
        <f aca="false">IF(L53 &lt; $N$26,$N$26,L53)</f>
        <v>3920.98250941368</v>
      </c>
      <c r="N53" s="38" t="n">
        <f aca="false">IF(OR(I53&lt;$M$26,J53=0),(N52),((N52*3)+M53)/4)</f>
        <v>3920.98250941368</v>
      </c>
      <c r="O53" s="43" t="n">
        <f aca="false">IF((I53/$K$26)/(N53/4096)*100 &gt; 100, 100, (I53/$K$26)/(N53/4096)*100)</f>
        <v>98.4954026191139</v>
      </c>
      <c r="P53" s="44" t="n">
        <f aca="false">(IF(((O53/100)*(460)+50)&lt;510,((O53/100)*(460)+50),510))/100</f>
        <v>5.03078852047924</v>
      </c>
    </row>
    <row r="54" customFormat="false" ht="13.8" hidden="false" customHeight="false" outlineLevel="0" collapsed="false">
      <c r="I54" s="38"/>
      <c r="J54" s="38"/>
      <c r="K54" s="38"/>
      <c r="L54" s="38"/>
      <c r="M54" s="38"/>
      <c r="N54" s="38"/>
      <c r="O54" s="39"/>
      <c r="P54" s="39"/>
    </row>
    <row r="55" customFormat="false" ht="13.8" hidden="false" customHeight="false" outlineLevel="0" collapsed="false">
      <c r="I55" s="45"/>
      <c r="J55" s="45"/>
      <c r="K55" s="45"/>
      <c r="L55" s="45"/>
      <c r="M55" s="45"/>
      <c r="N55" s="45"/>
      <c r="O55" s="45"/>
      <c r="P55" s="45"/>
    </row>
    <row r="56" customFormat="false" ht="15" hidden="false" customHeight="true" outlineLevel="0" collapsed="false">
      <c r="J56" s="46" t="s">
        <v>114</v>
      </c>
      <c r="K56" s="46"/>
      <c r="L56" s="46"/>
      <c r="M56" s="46"/>
      <c r="N56" s="46"/>
      <c r="O56" s="46"/>
    </row>
    <row r="57" customFormat="false" ht="15" hidden="false" customHeight="true" outlineLevel="0" collapsed="false">
      <c r="J57" s="46"/>
      <c r="K57" s="46"/>
      <c r="L57" s="46"/>
      <c r="M57" s="46"/>
      <c r="N57" s="46"/>
      <c r="O57" s="46"/>
    </row>
    <row r="58" customFormat="false" ht="15" hidden="false" customHeight="true" outlineLevel="0" collapsed="false">
      <c r="J58" s="46"/>
      <c r="K58" s="46"/>
      <c r="L58" s="46"/>
      <c r="M58" s="46"/>
      <c r="N58" s="46"/>
      <c r="O58" s="46"/>
    </row>
    <row r="59" customFormat="false" ht="15" hidden="false" customHeight="true" outlineLevel="0" collapsed="false">
      <c r="J59" s="47"/>
      <c r="K59" s="47"/>
      <c r="L59" s="47"/>
      <c r="M59" s="47"/>
      <c r="N59" s="47"/>
      <c r="O59" s="47"/>
    </row>
  </sheetData>
  <mergeCells count="13">
    <mergeCell ref="B2:C2"/>
    <mergeCell ref="A3:B3"/>
    <mergeCell ref="C3:O3"/>
    <mergeCell ref="A5:B5"/>
    <mergeCell ref="C5:O6"/>
    <mergeCell ref="I9:P9"/>
    <mergeCell ref="K16:M16"/>
    <mergeCell ref="O16:P16"/>
    <mergeCell ref="I19:P21"/>
    <mergeCell ref="I23:P23"/>
    <mergeCell ref="I24:P24"/>
    <mergeCell ref="J28:O29"/>
    <mergeCell ref="J56:O58"/>
  </mergeCells>
  <hyperlinks>
    <hyperlink ref="N10" r:id="rId1" display="div@cal"/>
    <hyperlink ref="N25" r:id="rId2" display="div@cal *0.9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75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G15" activeCellId="0" sqref="G15"/>
    </sheetView>
  </sheetViews>
  <sheetFormatPr defaultColWidth="8.7421875" defaultRowHeight="13.8" zeroHeight="false" outlineLevelRow="0" outlineLevelCol="0"/>
  <cols>
    <col collapsed="false" customWidth="true" hidden="false" outlineLevel="0" max="2" min="2" style="0" width="9.71"/>
    <col collapsed="false" customWidth="true" hidden="false" outlineLevel="0" max="7" min="7" style="0" width="22.01"/>
    <col collapsed="false" customWidth="true" hidden="false" outlineLevel="0" max="8" min="8" style="0" width="15.42"/>
    <col collapsed="false" customWidth="true" hidden="false" outlineLevel="0" max="9" min="9" style="0" width="15.15"/>
    <col collapsed="false" customWidth="true" hidden="false" outlineLevel="0" max="10" min="10" style="0" width="19.71"/>
    <col collapsed="false" customWidth="true" hidden="false" outlineLevel="0" max="11" min="11" style="0" width="18.71"/>
    <col collapsed="false" customWidth="true" hidden="false" outlineLevel="0" max="12" min="12" style="0" width="20.86"/>
    <col collapsed="false" customWidth="true" hidden="false" outlineLevel="0" max="13" min="13" style="0" width="13.14"/>
    <col collapsed="false" customWidth="true" hidden="false" outlineLevel="0" max="14" min="14" style="0" width="16.41"/>
    <col collapsed="false" customWidth="true" hidden="false" outlineLevel="0" max="15" min="15" style="0" width="22.57"/>
  </cols>
  <sheetData>
    <row r="2" customFormat="false" ht="13.8" hidden="false" customHeight="false" outlineLevel="0" collapsed="false">
      <c r="B2" s="74" t="s">
        <v>0</v>
      </c>
      <c r="C2" s="2" t="n">
        <v>44494</v>
      </c>
      <c r="D2" s="2"/>
    </row>
    <row r="3" customFormat="false" ht="15" hidden="false" customHeight="true" outlineLevel="0" collapsed="false">
      <c r="B3" s="3" t="s">
        <v>1</v>
      </c>
      <c r="C3" s="3"/>
      <c r="D3" s="4" t="s">
        <v>115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3.8" hidden="false" customHeight="false" outlineLevel="0" collapsed="false">
      <c r="B4" s="5"/>
      <c r="D4" s="6"/>
      <c r="E4" s="7"/>
      <c r="F4" s="7"/>
      <c r="G4" s="7"/>
      <c r="H4" s="7"/>
      <c r="I4" s="7"/>
      <c r="J4" s="7"/>
      <c r="K4" s="7"/>
      <c r="L4" s="7"/>
      <c r="M4" s="7"/>
      <c r="N4" s="8"/>
    </row>
    <row r="5" customFormat="false" ht="13.5" hidden="false" customHeight="true" outlineLevel="0" collapsed="false">
      <c r="B5" s="9" t="s">
        <v>3</v>
      </c>
      <c r="C5" s="9"/>
      <c r="D5" s="4" t="s">
        <v>116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3.8" hidden="false" customHeight="false" outlineLevel="0" collapsed="false">
      <c r="B6" s="10"/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8" customFormat="false" ht="19.7" hidden="false" customHeight="false" outlineLevel="0" collapsed="false">
      <c r="D8" s="11" t="s">
        <v>5</v>
      </c>
    </row>
    <row r="9" customFormat="false" ht="13.5" hidden="false" customHeight="true" outlineLevel="0" collapsed="false">
      <c r="H9" s="12" t="s">
        <v>6</v>
      </c>
      <c r="I9" s="12"/>
      <c r="J9" s="12"/>
      <c r="K9" s="12"/>
      <c r="L9" s="12"/>
      <c r="M9" s="12"/>
      <c r="N9" s="12"/>
      <c r="O9" s="12"/>
    </row>
    <row r="10" customFormat="false" ht="21" hidden="false" customHeight="true" outlineLevel="0" collapsed="false">
      <c r="H10" s="13" t="s">
        <v>7</v>
      </c>
      <c r="I10" s="13" t="s">
        <v>8</v>
      </c>
      <c r="J10" s="13" t="s">
        <v>9</v>
      </c>
      <c r="K10" s="13" t="s">
        <v>10</v>
      </c>
      <c r="L10" s="13" t="s">
        <v>11</v>
      </c>
      <c r="M10" s="14" t="s">
        <v>12</v>
      </c>
      <c r="N10" s="15" t="s">
        <v>24</v>
      </c>
      <c r="O10" s="15"/>
    </row>
    <row r="11" customFormat="false" ht="13.8" hidden="false" customHeight="false" outlineLevel="0" collapsed="false">
      <c r="H11" s="24" t="n">
        <v>7883</v>
      </c>
      <c r="I11" s="24" t="n">
        <v>9987</v>
      </c>
      <c r="J11" s="24" t="n">
        <v>10265</v>
      </c>
      <c r="K11" s="24" t="n">
        <v>11023</v>
      </c>
      <c r="L11" s="24" t="n">
        <v>11208</v>
      </c>
      <c r="M11" s="15" t="n">
        <f aca="false">N11*((K11-I11)/(L11-J11))-6.3</f>
        <v>0.986877443775591</v>
      </c>
      <c r="N11" s="15" t="n">
        <f aca="false">14.4-(7.07*((K11-I11)/(L11-J11)))</f>
        <v>6.63274655355249</v>
      </c>
      <c r="O11" s="15"/>
    </row>
    <row r="12" customFormat="false" ht="13.8" hidden="false" customHeight="false" outlineLevel="0" collapsed="false">
      <c r="H12" s="76" t="n">
        <v>9930</v>
      </c>
      <c r="I12" s="76" t="n">
        <f aca="false">16697 - 12</f>
        <v>16685</v>
      </c>
      <c r="J12" s="76" t="n">
        <f aca="false">15563-2</f>
        <v>15561</v>
      </c>
      <c r="K12" s="76" t="n">
        <v>19333</v>
      </c>
      <c r="L12" s="76" t="n">
        <v>18499</v>
      </c>
      <c r="M12" s="24"/>
    </row>
    <row r="13" customFormat="false" ht="13.8" hidden="false" customHeight="false" outlineLevel="0" collapsed="false">
      <c r="H13" s="76" t="n">
        <v>9861</v>
      </c>
      <c r="I13" s="76" t="n">
        <v>16604</v>
      </c>
      <c r="J13" s="76" t="n">
        <v>15493</v>
      </c>
      <c r="K13" s="76" t="n">
        <v>19289</v>
      </c>
      <c r="L13" s="76" t="n">
        <v>18467</v>
      </c>
    </row>
    <row r="15" customFormat="false" ht="30.75" hidden="false" customHeight="true" outlineLevel="0" collapsed="false">
      <c r="N15" s="58"/>
      <c r="O15" s="58"/>
    </row>
    <row r="16" customFormat="false" ht="19.7" hidden="false" customHeight="false" outlineLevel="0" collapsed="false">
      <c r="C16" s="11" t="s">
        <v>13</v>
      </c>
      <c r="J16" s="16" t="s">
        <v>14</v>
      </c>
      <c r="K16" s="16"/>
      <c r="L16" s="16"/>
    </row>
    <row r="17" customFormat="false" ht="19.7" hidden="false" customHeight="false" outlineLevel="0" collapsed="false">
      <c r="C17" s="11"/>
      <c r="J17" s="13" t="s">
        <v>15</v>
      </c>
      <c r="K17" s="13" t="s">
        <v>16</v>
      </c>
      <c r="L17" s="13" t="s">
        <v>17</v>
      </c>
      <c r="N17" s="80"/>
      <c r="O17" s="80"/>
    </row>
    <row r="18" customFormat="false" ht="19.7" hidden="false" customHeight="false" outlineLevel="0" collapsed="false">
      <c r="C18" s="11"/>
      <c r="J18" s="24" t="n">
        <v>7886</v>
      </c>
      <c r="K18" s="24" t="n">
        <v>10644</v>
      </c>
      <c r="L18" s="24" t="n">
        <v>10867</v>
      </c>
      <c r="N18" s="81"/>
      <c r="O18" s="81"/>
    </row>
    <row r="19" customFormat="false" ht="19.7" hidden="false" customHeight="false" outlineLevel="0" collapsed="false">
      <c r="C19" s="11"/>
      <c r="J19" s="29"/>
      <c r="K19" s="29"/>
      <c r="L19" s="29"/>
      <c r="N19" s="81"/>
      <c r="O19" s="81"/>
    </row>
    <row r="20" customFormat="false" ht="19.7" hidden="false" customHeight="false" outlineLevel="0" collapsed="false">
      <c r="C20" s="11"/>
      <c r="J20" s="29"/>
      <c r="K20" s="29"/>
      <c r="L20" s="29"/>
      <c r="N20" s="81"/>
      <c r="O20" s="81"/>
    </row>
    <row r="21" customFormat="false" ht="21" hidden="false" customHeight="true" outlineLevel="0" collapsed="false">
      <c r="A21" s="10" t="s">
        <v>117</v>
      </c>
      <c r="B21" s="82" t="s">
        <v>118</v>
      </c>
      <c r="C21" s="82"/>
      <c r="D21" s="82"/>
      <c r="E21" s="82"/>
      <c r="F21" s="82"/>
      <c r="G21" s="82"/>
      <c r="H21" s="10" t="s">
        <v>119</v>
      </c>
      <c r="K21" s="18"/>
      <c r="L21" s="18"/>
      <c r="M21" s="18"/>
      <c r="N21" s="18"/>
      <c r="O21" s="18"/>
    </row>
    <row r="22" customFormat="false" ht="19.5" hidden="false" customHeight="true" outlineLevel="0" collapsed="false">
      <c r="A22" s="29" t="n">
        <v>1</v>
      </c>
      <c r="B22" s="0" t="s">
        <v>120</v>
      </c>
      <c r="C22" s="11"/>
      <c r="H22" s="0" t="n">
        <f aca="false">K11-I11</f>
        <v>1036</v>
      </c>
      <c r="J22" s="19" t="s">
        <v>19</v>
      </c>
      <c r="K22" s="19"/>
      <c r="L22" s="19"/>
      <c r="M22" s="19"/>
      <c r="N22" s="19"/>
      <c r="O22" s="19"/>
      <c r="P22" s="19"/>
      <c r="Q22" s="19"/>
    </row>
    <row r="23" customFormat="false" ht="13.5" hidden="false" customHeight="true" outlineLevel="0" collapsed="false">
      <c r="A23" s="29" t="n">
        <v>2</v>
      </c>
      <c r="B23" s="0" t="s">
        <v>121</v>
      </c>
      <c r="C23" s="11"/>
      <c r="H23" s="0" t="n">
        <f aca="false">L11-J11</f>
        <v>943</v>
      </c>
      <c r="J23" s="12" t="s">
        <v>20</v>
      </c>
      <c r="K23" s="12"/>
      <c r="L23" s="12"/>
      <c r="M23" s="12"/>
      <c r="N23" s="12"/>
      <c r="O23" s="12"/>
      <c r="P23" s="12"/>
      <c r="Q23" s="12"/>
    </row>
    <row r="24" customFormat="false" ht="15.75" hidden="false" customHeight="true" outlineLevel="0" collapsed="false">
      <c r="A24" s="29" t="n">
        <v>3</v>
      </c>
      <c r="B24" s="0" t="s">
        <v>122</v>
      </c>
      <c r="C24" s="11"/>
      <c r="H24" s="83" t="n">
        <f aca="false">14.4-(7.07*(H22/H23))</f>
        <v>6.63274655355249</v>
      </c>
      <c r="J24" s="20" t="s">
        <v>21</v>
      </c>
      <c r="K24" s="20" t="s">
        <v>22</v>
      </c>
      <c r="L24" s="20" t="s">
        <v>23</v>
      </c>
      <c r="M24" s="20" t="s">
        <v>24</v>
      </c>
      <c r="N24" s="20" t="s">
        <v>25</v>
      </c>
      <c r="O24" s="21" t="s">
        <v>26</v>
      </c>
      <c r="P24" s="22"/>
      <c r="Q24" s="23"/>
    </row>
    <row r="25" customFormat="false" ht="15.75" hidden="false" customHeight="true" outlineLevel="0" collapsed="false">
      <c r="A25" s="29" t="n">
        <v>4</v>
      </c>
      <c r="B25" s="84" t="s">
        <v>123</v>
      </c>
      <c r="C25" s="11"/>
      <c r="H25" s="71" t="n">
        <f aca="false">H24*(H22/H23)-6.3</f>
        <v>0.986877443775591</v>
      </c>
      <c r="J25" s="24" t="n">
        <f aca="false">$K$11-$I$11</f>
        <v>1036</v>
      </c>
      <c r="K25" s="24" t="n">
        <f aca="false">$L$11-$J$11</f>
        <v>943</v>
      </c>
      <c r="L25" s="25" t="n">
        <f aca="false">J25/$M$11</f>
        <v>1049.77574118674</v>
      </c>
      <c r="M25" s="26" t="n">
        <f aca="false">14.4-(7.07*(J25/K25))</f>
        <v>6.63274655355249</v>
      </c>
      <c r="N25" s="24" t="n">
        <f aca="false">0.2*J25</f>
        <v>207.2</v>
      </c>
      <c r="O25" s="27" t="n">
        <f aca="false">0.97*$M$11*4096</f>
        <v>3920.98250941368</v>
      </c>
      <c r="P25" s="28"/>
      <c r="Q25" s="24"/>
    </row>
    <row r="26" customFormat="false" ht="15.75" hidden="false" customHeight="true" outlineLevel="0" collapsed="false">
      <c r="A26" s="29" t="n">
        <v>5</v>
      </c>
      <c r="B26" s="0" t="s">
        <v>124</v>
      </c>
      <c r="C26" s="11"/>
      <c r="H26" s="81" t="n">
        <f aca="false">H22/H25</f>
        <v>1049.77574118674</v>
      </c>
      <c r="J26" s="29"/>
      <c r="K26" s="29"/>
      <c r="L26" s="29"/>
    </row>
    <row r="27" customFormat="false" ht="15.75" hidden="false" customHeight="true" outlineLevel="0" collapsed="false">
      <c r="A27" s="29" t="n">
        <v>6</v>
      </c>
      <c r="B27" s="0" t="s">
        <v>125</v>
      </c>
      <c r="C27" s="11"/>
      <c r="H27" s="0" t="n">
        <f aca="false">0.2*H22</f>
        <v>207.2</v>
      </c>
      <c r="K27" s="30" t="s">
        <v>27</v>
      </c>
      <c r="L27" s="30"/>
      <c r="M27" s="30"/>
      <c r="N27" s="30"/>
      <c r="O27" s="30"/>
      <c r="P27" s="30"/>
    </row>
    <row r="28" customFormat="false" ht="15" hidden="false" customHeight="true" outlineLevel="0" collapsed="false">
      <c r="A28" s="29" t="n">
        <v>7</v>
      </c>
      <c r="B28" s="0" t="s">
        <v>126</v>
      </c>
      <c r="C28" s="11"/>
      <c r="H28" s="85" t="n">
        <f aca="false">H25*0.97*4096</f>
        <v>3920.98250941368</v>
      </c>
      <c r="K28" s="30"/>
      <c r="L28" s="30"/>
      <c r="M28" s="30"/>
      <c r="N28" s="30"/>
      <c r="O28" s="30"/>
      <c r="P28" s="30"/>
    </row>
    <row r="29" customFormat="false" ht="48" hidden="false" customHeight="false" outlineLevel="0" collapsed="false">
      <c r="A29" s="29" t="n">
        <v>8</v>
      </c>
      <c r="B29" s="0" t="s">
        <v>127</v>
      </c>
      <c r="C29" s="11"/>
      <c r="H29" s="0" t="n">
        <v>1.4</v>
      </c>
      <c r="J29" s="31" t="s">
        <v>28</v>
      </c>
      <c r="K29" s="31" t="s">
        <v>29</v>
      </c>
      <c r="L29" s="32" t="s">
        <v>30</v>
      </c>
      <c r="M29" s="32" t="s">
        <v>31</v>
      </c>
      <c r="N29" s="32" t="s">
        <v>32</v>
      </c>
      <c r="O29" s="31" t="s">
        <v>33</v>
      </c>
      <c r="P29" s="31" t="s">
        <v>34</v>
      </c>
      <c r="Q29" s="31" t="s">
        <v>35</v>
      </c>
    </row>
    <row r="30" customFormat="false" ht="19.7" hidden="false" customHeight="false" outlineLevel="0" collapsed="false">
      <c r="A30" s="29" t="n">
        <v>9</v>
      </c>
      <c r="B30" s="0" t="s">
        <v>128</v>
      </c>
      <c r="C30" s="11"/>
      <c r="H30" s="0" t="n">
        <v>1.05</v>
      </c>
      <c r="J30" s="33"/>
      <c r="K30" s="34"/>
      <c r="L30" s="34"/>
      <c r="M30" s="34"/>
      <c r="N30" s="34"/>
      <c r="O30" s="34" t="n">
        <f aca="false">O25</f>
        <v>3920.98250941368</v>
      </c>
      <c r="P30" s="35"/>
      <c r="Q30" s="36"/>
    </row>
    <row r="31" customFormat="false" ht="19.7" hidden="false" customHeight="false" outlineLevel="0" collapsed="false">
      <c r="A31" s="29" t="n">
        <v>10</v>
      </c>
      <c r="B31" s="0" t="s">
        <v>129</v>
      </c>
      <c r="C31" s="11"/>
      <c r="H31" s="0" t="n">
        <f aca="false">J18-H11</f>
        <v>3</v>
      </c>
      <c r="J31" s="37" t="n">
        <f aca="false">IF(($K$18-(1.4*($J$18-$H$11))-$I$11)&lt;0, 0, ($K$18-(1.4*($J$18-$H$11))-$I$11))</f>
        <v>652.799999999999</v>
      </c>
      <c r="K31" s="38" t="n">
        <f aca="false">IF(($L$18-(1.05*($J$18-$H$11))-$J$11)&lt;0, 0, ($L$18-(1.05*($J$18-$H$11))-$J$11))</f>
        <v>598.85</v>
      </c>
      <c r="L31" s="38" t="n">
        <f aca="false">($M$25*(J31/K31)-6.3)*4096</f>
        <v>3810.45268072391</v>
      </c>
      <c r="M31" s="38" t="n">
        <f aca="false">IF(L31&lt;0,65535+L31,L31)</f>
        <v>3810.45268072391</v>
      </c>
      <c r="N31" s="38" t="n">
        <f aca="false">IF(M31 &lt; $O$25,$O$25,M31)</f>
        <v>3920.98250941368</v>
      </c>
      <c r="O31" s="38" t="n">
        <f aca="false">IF(OR(J31&lt;$N$25,K31=0),(O30),((O30*3)+N31)/4)</f>
        <v>3920.98250941368</v>
      </c>
      <c r="P31" s="39" t="n">
        <f aca="false">IF((J31/$L$25)/(O31/4096)*100 &gt; 100, 100, (J31/$L$25)/(O31/4096)*100)</f>
        <v>64.960394857302</v>
      </c>
      <c r="Q31" s="40" t="n">
        <f aca="false">(IF(((P31/100)*(460)+50)&lt;510,((P31/100)*(460)+50),510))/100</f>
        <v>3.48817816343589</v>
      </c>
    </row>
    <row r="32" customFormat="false" ht="19.7" hidden="false" customHeight="false" outlineLevel="0" collapsed="false">
      <c r="A32" s="29" t="n">
        <v>11</v>
      </c>
      <c r="B32" s="0" t="s">
        <v>130</v>
      </c>
      <c r="C32" s="11"/>
      <c r="H32" s="0" t="n">
        <f aca="false">H29*H31</f>
        <v>4.2</v>
      </c>
      <c r="J32" s="37" t="n">
        <f aca="false">IF(($K$18-(1.4*($J$18-$H$11))-$I$11)&lt;0, 0, ($K$18-(1.4*($J$18-$H$11))-$I$11))</f>
        <v>652.799999999999</v>
      </c>
      <c r="K32" s="38" t="n">
        <f aca="false">IF(($L$18-(1.05*($J$18-$H$11))-$J$11)&lt;0, 0, ($L$18-(1.05*($J$18-$H$11))-$J$11))</f>
        <v>598.85</v>
      </c>
      <c r="L32" s="38" t="n">
        <f aca="false">($M$25*(J32/K32)-6.3)*4096</f>
        <v>3810.45268072391</v>
      </c>
      <c r="M32" s="38" t="n">
        <f aca="false">IF(L32&lt;0,65535+L32,L32)</f>
        <v>3810.45268072391</v>
      </c>
      <c r="N32" s="38" t="n">
        <f aca="false">IF(M32 &lt; $O$25,$O$25,M32)</f>
        <v>3920.98250941368</v>
      </c>
      <c r="O32" s="38" t="n">
        <f aca="false">IF(OR(J32&lt;$N$25,K32=0),(O31),((O31*3)+N32)/4)</f>
        <v>3920.98250941368</v>
      </c>
      <c r="P32" s="39" t="n">
        <f aca="false">IF((J32/$L$25)/(O32/4096)*100 &gt; 100, 100, (J32/$L$25)/(O32/4096)*100)</f>
        <v>64.960394857302</v>
      </c>
      <c r="Q32" s="40" t="n">
        <f aca="false">(IF(((P32/100)*(460)+50)&lt;510,((P32/100)*(460)+50),510))/100</f>
        <v>3.48817816343589</v>
      </c>
    </row>
    <row r="33" customFormat="false" ht="19.7" hidden="false" customHeight="false" outlineLevel="0" collapsed="false">
      <c r="A33" s="29" t="n">
        <v>12</v>
      </c>
      <c r="B33" s="0" t="s">
        <v>131</v>
      </c>
      <c r="C33" s="11"/>
      <c r="H33" s="0" t="n">
        <f aca="false">H30*H31</f>
        <v>3.15</v>
      </c>
      <c r="J33" s="37" t="n">
        <f aca="false">IF(($K$18-(1.4*($J$18-$H$11))-$I$11)&lt;0, 0, ($K$18-(1.4*($J$18-$H$11))-$I$11))</f>
        <v>652.799999999999</v>
      </c>
      <c r="K33" s="38" t="n">
        <f aca="false">IF(($L$18-(1.05*($J$18-$H$11))-$J$11)&lt;0, 0, ($L$18-(1.05*($J$18-$H$11))-$J$11))</f>
        <v>598.85</v>
      </c>
      <c r="L33" s="38" t="n">
        <f aca="false">($M$25*(J33/K33)-6.3)*4096</f>
        <v>3810.45268072391</v>
      </c>
      <c r="M33" s="38" t="n">
        <f aca="false">IF(L33&lt;0,65535+L33,L33)</f>
        <v>3810.45268072391</v>
      </c>
      <c r="N33" s="38" t="n">
        <f aca="false">IF(M33 &lt; $O$25,$O$25,M33)</f>
        <v>3920.98250941368</v>
      </c>
      <c r="O33" s="38" t="n">
        <f aca="false">IF(OR(J33&lt;$N$25,K33=0),(O32),((O32*3)+N33)/4)</f>
        <v>3920.98250941368</v>
      </c>
      <c r="P33" s="39" t="n">
        <f aca="false">IF((J33/$L$25)/(O33/4096)*100 &gt; 100, 100, (J33/$L$25)/(O33/4096)*100)</f>
        <v>64.960394857302</v>
      </c>
      <c r="Q33" s="40" t="n">
        <f aca="false">(IF(((P33/100)*(460)+50)&lt;510,((P33/100)*(460)+50),510))/100</f>
        <v>3.48817816343589</v>
      </c>
    </row>
    <row r="34" customFormat="false" ht="13.8" hidden="false" customHeight="true" outlineLevel="0" collapsed="false">
      <c r="A34" s="29" t="n">
        <v>13</v>
      </c>
      <c r="B34" s="63" t="s">
        <v>132</v>
      </c>
      <c r="C34" s="63"/>
      <c r="D34" s="63"/>
      <c r="E34" s="63"/>
      <c r="F34" s="63"/>
      <c r="G34" s="63"/>
      <c r="H34" s="85" t="n">
        <f aca="false">K18-H32-I11</f>
        <v>652.799999999999</v>
      </c>
      <c r="J34" s="37" t="n">
        <f aca="false">IF(($K$18-(1.4*($J$18-$H$11))-$I$11)&lt;0, 0, ($K$18-(1.4*($J$18-$H$11))-$I$11))</f>
        <v>652.799999999999</v>
      </c>
      <c r="K34" s="38" t="n">
        <f aca="false">IF(($L$18-(1.05*($J$18-$H$11))-$J$11)&lt;0, 0, ($L$18-(1.05*($J$18-$H$11))-$J$11))</f>
        <v>598.85</v>
      </c>
      <c r="L34" s="38" t="n">
        <f aca="false">($M$25*(J34/K34)-6.3)*4096</f>
        <v>3810.45268072391</v>
      </c>
      <c r="M34" s="38" t="n">
        <f aca="false">IF(L34&lt;0,65535+L34,L34)</f>
        <v>3810.45268072391</v>
      </c>
      <c r="N34" s="38" t="n">
        <f aca="false">IF(M34 &lt; $O$25,$O$25,M34)</f>
        <v>3920.98250941368</v>
      </c>
      <c r="O34" s="38" t="n">
        <f aca="false">IF(OR(J34&lt;$N$25,K34=0),(O33),((O33*3)+N34)/4)</f>
        <v>3920.98250941368</v>
      </c>
      <c r="P34" s="39" t="n">
        <f aca="false">IF((J34/$L$25)/(O34/4096)*100 &gt; 100, 100, (J34/$L$25)/(O34/4096)*100)</f>
        <v>64.960394857302</v>
      </c>
      <c r="Q34" s="40" t="n">
        <f aca="false">(IF(((P34/100)*(460)+50)&lt;510,((P34/100)*(460)+50),510))/100</f>
        <v>3.48817816343589</v>
      </c>
    </row>
    <row r="35" customFormat="false" ht="13.8" hidden="false" customHeight="true" outlineLevel="0" collapsed="false">
      <c r="A35" s="29" t="n">
        <v>14</v>
      </c>
      <c r="B35" s="63" t="s">
        <v>133</v>
      </c>
      <c r="C35" s="63"/>
      <c r="D35" s="63"/>
      <c r="E35" s="63"/>
      <c r="F35" s="63"/>
      <c r="G35" s="63"/>
      <c r="H35" s="85" t="n">
        <f aca="false">L18-H33-J11</f>
        <v>598.85</v>
      </c>
      <c r="J35" s="37" t="n">
        <f aca="false">IF(($K$18-(1.4*($J$18-$H$11))-$I$11)&lt;0, 0, ($K$18-(1.4*($J$18-$H$11))-$I$11))</f>
        <v>652.799999999999</v>
      </c>
      <c r="K35" s="38" t="n">
        <f aca="false">IF(($L$18-(1.05*($J$18-$H$11))-$J$11)&lt;0, 0, ($L$18-(1.05*($J$18-$H$11))-$J$11))</f>
        <v>598.85</v>
      </c>
      <c r="L35" s="38" t="n">
        <f aca="false">($M$25*(J35/K35)-6.3)*4096</f>
        <v>3810.45268072391</v>
      </c>
      <c r="M35" s="38" t="n">
        <f aca="false">IF(L35&lt;0,65535+L35,L35)</f>
        <v>3810.45268072391</v>
      </c>
      <c r="N35" s="38" t="n">
        <f aca="false">IF(M35 &lt; $O$25,$O$25,M35)</f>
        <v>3920.98250941368</v>
      </c>
      <c r="O35" s="38" t="n">
        <f aca="false">IF(OR(J35&lt;$N$25,K35=0),(O34),((O34*3)+N35)/4)</f>
        <v>3920.98250941368</v>
      </c>
      <c r="P35" s="39" t="n">
        <f aca="false">IF((J35/$L$25)/(O35/4096)*100 &gt; 100, 100, (J35/$L$25)/(O35/4096)*100)</f>
        <v>64.960394857302</v>
      </c>
      <c r="Q35" s="40" t="n">
        <f aca="false">(IF(((P35/100)*(460)+50)&lt;510,((P35/100)*(460)+50),510))/100</f>
        <v>3.48817816343589</v>
      </c>
    </row>
    <row r="36" customFormat="false" ht="19.7" hidden="false" customHeight="false" outlineLevel="0" collapsed="false">
      <c r="A36" s="29" t="n">
        <v>15</v>
      </c>
      <c r="B36" s="86" t="s">
        <v>134</v>
      </c>
      <c r="C36" s="87"/>
      <c r="D36" s="86"/>
      <c r="E36" s="86"/>
      <c r="F36" s="86"/>
      <c r="G36" s="86"/>
      <c r="H36" s="88" t="n">
        <f aca="false">(H24*(H34/H35)-6.3)*4096</f>
        <v>3810.45268072391</v>
      </c>
      <c r="J36" s="37" t="n">
        <f aca="false">IF(($K$18-(1.4*($J$18-$H$11))-$I$11)&lt;0, 0, ($K$18-(1.4*($J$18-$H$11))-$I$11))</f>
        <v>652.799999999999</v>
      </c>
      <c r="K36" s="38" t="n">
        <f aca="false">IF(($L$18-(1.05*($J$18-$H$11))-$J$11)&lt;0, 0, ($L$18-(1.05*($J$18-$H$11))-$J$11))</f>
        <v>598.85</v>
      </c>
      <c r="L36" s="38" t="n">
        <f aca="false">($M$25*(J36/K36)-6.3)*4096</f>
        <v>3810.45268072391</v>
      </c>
      <c r="M36" s="38" t="n">
        <f aca="false">IF(L36&lt;0,65535+L36,L36)</f>
        <v>3810.45268072391</v>
      </c>
      <c r="N36" s="38" t="n">
        <f aca="false">IF(M36 &lt; $O$25,$O$25,M36)</f>
        <v>3920.98250941368</v>
      </c>
      <c r="O36" s="38" t="n">
        <f aca="false">IF(OR(J36&lt;$N$25,K36=0),(O35),((O35*3)+N36)/4)</f>
        <v>3920.98250941368</v>
      </c>
      <c r="P36" s="39" t="n">
        <f aca="false">IF((J36/$L$25)/(O36/4096)*100 &gt; 100, 100, (J36/$L$25)/(O36/4096)*100)</f>
        <v>64.960394857302</v>
      </c>
      <c r="Q36" s="40" t="n">
        <f aca="false">(IF(((P36/100)*(460)+50)&lt;510,((P36/100)*(460)+50),510))/100</f>
        <v>3.48817816343589</v>
      </c>
    </row>
    <row r="37" customFormat="false" ht="48" hidden="false" customHeight="true" outlineLevel="0" collapsed="false">
      <c r="A37" s="29" t="n">
        <v>16</v>
      </c>
      <c r="B37" s="63" t="s">
        <v>135</v>
      </c>
      <c r="C37" s="63"/>
      <c r="D37" s="63"/>
      <c r="E37" s="63"/>
      <c r="F37" s="63"/>
      <c r="G37" s="63"/>
      <c r="H37" s="85" t="n">
        <f aca="false">IF(H36&lt;0,65535+H36,H36)</f>
        <v>3810.45268072391</v>
      </c>
      <c r="J37" s="37" t="n">
        <f aca="false">IF(($K$18-(1.4*($J$18-$H$11))-$I$11)&lt;0, 0, ($K$18-(1.4*($J$18-$H$11))-$I$11))</f>
        <v>652.799999999999</v>
      </c>
      <c r="K37" s="38" t="n">
        <f aca="false">IF(($L$18-(1.05*($J$18-$H$11))-$J$11)&lt;0, 0, ($L$18-(1.05*($J$18-$H$11))-$J$11))</f>
        <v>598.85</v>
      </c>
      <c r="L37" s="38" t="n">
        <f aca="false">($M$25*(J37/K37)-6.3)*4096</f>
        <v>3810.45268072391</v>
      </c>
      <c r="M37" s="38" t="n">
        <f aca="false">IF(L37&lt;0,65535+L37,L37)</f>
        <v>3810.45268072391</v>
      </c>
      <c r="N37" s="38" t="n">
        <f aca="false">IF(M37 &lt; $O$25,$O$25,M37)</f>
        <v>3920.98250941368</v>
      </c>
      <c r="O37" s="38" t="n">
        <f aca="false">IF(OR(J37&lt;$N$25,K37=0),(O36),((O36*3)+N37)/4)</f>
        <v>3920.98250941368</v>
      </c>
      <c r="P37" s="39" t="n">
        <f aca="false">IF((J37/$L$25)/(O37/4096)*100 &gt; 100, 100, (J37/$L$25)/(O37/4096)*100)</f>
        <v>64.960394857302</v>
      </c>
      <c r="Q37" s="40" t="n">
        <f aca="false">(IF(((P37/100)*(460)+50)&lt;510,((P37/100)*(460)+50),510))/100</f>
        <v>3.48817816343589</v>
      </c>
    </row>
    <row r="38" customFormat="false" ht="63" hidden="false" customHeight="true" outlineLevel="0" collapsed="false">
      <c r="A38" s="29" t="n">
        <v>17</v>
      </c>
      <c r="B38" s="63" t="s">
        <v>136</v>
      </c>
      <c r="C38" s="63"/>
      <c r="D38" s="63"/>
      <c r="E38" s="63"/>
      <c r="F38" s="63"/>
      <c r="G38" s="63"/>
      <c r="H38" s="85" t="n">
        <f aca="false">IF(H37&lt;H28,H28,H37)</f>
        <v>3920.98250941368</v>
      </c>
      <c r="J38" s="37" t="n">
        <f aca="false">IF(($K$18-(1.4*($J$18-$H$11))-$I$11)&lt;0, 0, ($K$18-(1.4*($J$18-$H$11))-$I$11))</f>
        <v>652.799999999999</v>
      </c>
      <c r="K38" s="38" t="n">
        <f aca="false">IF(($L$18-(1.05*($J$18-$H$11))-$J$11)&lt;0, 0, ($L$18-(1.05*($J$18-$H$11))-$J$11))</f>
        <v>598.85</v>
      </c>
      <c r="L38" s="38" t="n">
        <f aca="false">($M$25*(J38/K38)-6.3)*4096</f>
        <v>3810.45268072391</v>
      </c>
      <c r="M38" s="38" t="n">
        <f aca="false">IF(L38&lt;0,65535+L38,L38)</f>
        <v>3810.45268072391</v>
      </c>
      <c r="N38" s="38" t="n">
        <f aca="false">IF(M38 &lt; $O$25,$O$25,M38)</f>
        <v>3920.98250941368</v>
      </c>
      <c r="O38" s="38" t="n">
        <f aca="false">IF(OR(J38&lt;$N$25,K38=0),(O37),((O37*3)+N38)/4)</f>
        <v>3920.98250941368</v>
      </c>
      <c r="P38" s="39" t="n">
        <f aca="false">IF((J38/$L$25)/(O38/4096)*100 &gt; 100, 100, (J38/$L$25)/(O38/4096)*100)</f>
        <v>64.960394857302</v>
      </c>
      <c r="Q38" s="40" t="n">
        <f aca="false">(IF(((P38/100)*(460)+50)&lt;510,((P38/100)*(460)+50),510))/100</f>
        <v>3.48817816343589</v>
      </c>
    </row>
    <row r="39" customFormat="false" ht="33" hidden="false" customHeight="true" outlineLevel="0" collapsed="false">
      <c r="A39" s="29" t="n">
        <v>18</v>
      </c>
      <c r="B39" s="63" t="s">
        <v>137</v>
      </c>
      <c r="C39" s="63"/>
      <c r="D39" s="63"/>
      <c r="E39" s="63"/>
      <c r="F39" s="63"/>
      <c r="G39" s="63"/>
      <c r="H39" s="85" t="n">
        <f aca="false">IF(OR(H34&lt;H27,H35=0),H28,((H28*3)+H38)/4)</f>
        <v>3920.98250941368</v>
      </c>
      <c r="J39" s="37" t="n">
        <f aca="false">IF(($K$18-(1.4*($J$18-$H$11))-$I$11)&lt;0, 0, ($K$18-(1.4*($J$18-$H$11))-$I$11))</f>
        <v>652.799999999999</v>
      </c>
      <c r="K39" s="38" t="n">
        <f aca="false">IF(($L$18-(1.05*($J$18-$H$11))-$J$11)&lt;0, 0, ($L$18-(1.05*($J$18-$H$11))-$J$11))</f>
        <v>598.85</v>
      </c>
      <c r="L39" s="38" t="n">
        <f aca="false">($M$25*(J39/K39)-6.3)*4096</f>
        <v>3810.45268072391</v>
      </c>
      <c r="M39" s="38" t="n">
        <f aca="false">IF(L39&lt;0,65535+L39,L39)</f>
        <v>3810.45268072391</v>
      </c>
      <c r="N39" s="38" t="n">
        <f aca="false">IF(M39 &lt; $O$25,$O$25,M39)</f>
        <v>3920.98250941368</v>
      </c>
      <c r="O39" s="38" t="n">
        <f aca="false">IF(OR(J39&lt;$N$25,K39=0),(O38),((O38*3)+N39)/4)</f>
        <v>3920.98250941368</v>
      </c>
      <c r="P39" s="39" t="n">
        <f aca="false">IF((J39/$L$25)/(O39/4096)*100 &gt; 100, 100, (J39/$L$25)/(O39/4096)*100)</f>
        <v>64.960394857302</v>
      </c>
      <c r="Q39" s="40" t="n">
        <f aca="false">(IF(((P39/100)*(460)+50)&lt;510,((P39/100)*(460)+50),510))/100</f>
        <v>3.48817816343589</v>
      </c>
    </row>
    <row r="40" customFormat="false" ht="19.7" hidden="false" customHeight="false" outlineLevel="0" collapsed="false">
      <c r="A40" s="29" t="n">
        <v>19</v>
      </c>
      <c r="B40" s="0" t="s">
        <v>138</v>
      </c>
      <c r="C40" s="11"/>
      <c r="H40" s="81" t="n">
        <f aca="false">IF((H34/H26)/(H39/4096)*100&gt;100,100,(H34/H26)/(H39/4096)*100)</f>
        <v>64.960394857302</v>
      </c>
      <c r="I40" s="29"/>
      <c r="J40" s="37" t="n">
        <f aca="false">IF(($K$18-(1.4*($J$18-$H$11))-$I$11)&lt;0, 0, ($K$18-(1.4*($J$18-$H$11))-$I$11))</f>
        <v>652.799999999999</v>
      </c>
      <c r="K40" s="38" t="n">
        <f aca="false">IF(($L$18-(1.05*($J$18-$H$11))-$J$11)&lt;0, 0, ($L$18-(1.05*($J$18-$H$11))-$J$11))</f>
        <v>598.85</v>
      </c>
      <c r="L40" s="38" t="n">
        <f aca="false">($M$25*(J40/K40)-6.3)*4096</f>
        <v>3810.45268072391</v>
      </c>
      <c r="M40" s="38" t="n">
        <f aca="false">IF(L40&lt;0,65535+L40,L40)</f>
        <v>3810.45268072391</v>
      </c>
      <c r="N40" s="38" t="n">
        <f aca="false">IF(M40 &lt; $O$25,$O$25,M40)</f>
        <v>3920.98250941368</v>
      </c>
      <c r="O40" s="38" t="n">
        <f aca="false">IF(OR(J40&lt;$N$25,K40=0),(O39),((O39*3)+N40)/4)</f>
        <v>3920.98250941368</v>
      </c>
      <c r="P40" s="39" t="n">
        <f aca="false">IF((J40/$L$25)/(O40/4096)*100 &gt; 100, 100, (J40/$L$25)/(O40/4096)*100)</f>
        <v>64.960394857302</v>
      </c>
      <c r="Q40" s="40" t="n">
        <f aca="false">(IF(((P40/100)*(460)+50)&lt;510,((P40/100)*(460)+50),510))/100</f>
        <v>3.48817816343589</v>
      </c>
    </row>
    <row r="41" customFormat="false" ht="19.7" hidden="false" customHeight="false" outlineLevel="0" collapsed="false">
      <c r="A41" s="29" t="n">
        <v>20</v>
      </c>
      <c r="B41" s="0" t="s">
        <v>139</v>
      </c>
      <c r="C41" s="11"/>
      <c r="H41" s="81" t="n">
        <f aca="false">(IF(((H40/100)*(460)+50)&lt;510,((H40/100)*(460)+50),510))/100</f>
        <v>3.48817816343589</v>
      </c>
      <c r="J41" s="37" t="n">
        <f aca="false">IF(($K$18-(1.4*($J$18-$H$11))-$I$11)&lt;0, 0, ($K$18-(1.4*($J$18-$H$11))-$I$11))</f>
        <v>652.799999999999</v>
      </c>
      <c r="K41" s="38" t="n">
        <f aca="false">IF(($L$18-(1.05*($J$18-$H$11))-$J$11)&lt;0, 0, ($L$18-(1.05*($J$18-$H$11))-$J$11))</f>
        <v>598.85</v>
      </c>
      <c r="L41" s="38" t="n">
        <f aca="false">($M$25*(J41/K41)-6.3)*4096</f>
        <v>3810.45268072391</v>
      </c>
      <c r="M41" s="38" t="n">
        <f aca="false">IF(L41&lt;0,65535+L41,L41)</f>
        <v>3810.45268072391</v>
      </c>
      <c r="N41" s="38" t="n">
        <f aca="false">IF(M41 &lt; $O$25,$O$25,M41)</f>
        <v>3920.98250941368</v>
      </c>
      <c r="O41" s="38" t="n">
        <f aca="false">IF(OR(J41&lt;$N$25,K41=0),(O40),((O40*3)+N41)/4)</f>
        <v>3920.98250941368</v>
      </c>
      <c r="P41" s="39" t="n">
        <f aca="false">IF((J41/$L$25)/(O41/4096)*100 &gt; 100, 100, (J41/$L$25)/(O41/4096)*100)</f>
        <v>64.960394857302</v>
      </c>
      <c r="Q41" s="40" t="n">
        <f aca="false">(IF(((P41/100)*(460)+50)&lt;510,((P41/100)*(460)+50),510))/100</f>
        <v>3.48817816343589</v>
      </c>
    </row>
    <row r="42" customFormat="false" ht="19.7" hidden="false" customHeight="false" outlineLevel="0" collapsed="false">
      <c r="A42" s="29" t="n">
        <v>21</v>
      </c>
      <c r="B42" s="0" t="s">
        <v>140</v>
      </c>
      <c r="C42" s="11"/>
      <c r="H42" s="89" t="n">
        <f aca="false">(O52/4096)/H25</f>
        <v>0.97</v>
      </c>
      <c r="J42" s="37" t="n">
        <f aca="false">IF(($K$18-(1.4*($J$18-$H$11))-$I$11)&lt;0, 0, ($K$18-(1.4*($J$18-$H$11))-$I$11))</f>
        <v>652.799999999999</v>
      </c>
      <c r="K42" s="38" t="n">
        <f aca="false">IF(($L$18-(1.05*($J$18-$H$11))-$J$11)&lt;0, 0, ($L$18-(1.05*($J$18-$H$11))-$J$11))</f>
        <v>598.85</v>
      </c>
      <c r="L42" s="38" t="n">
        <f aca="false">($M$25*(J42/K42)-6.3)*4096</f>
        <v>3810.45268072391</v>
      </c>
      <c r="M42" s="38" t="n">
        <f aca="false">IF(L42&lt;0,65535+L42,L42)</f>
        <v>3810.45268072391</v>
      </c>
      <c r="N42" s="38" t="n">
        <f aca="false">IF(M42 &lt; $O$25,$O$25,M42)</f>
        <v>3920.98250941368</v>
      </c>
      <c r="O42" s="38" t="n">
        <f aca="false">IF(OR(J42&lt;$N$25,K42=0),(O41),((O41*3)+N42)/4)</f>
        <v>3920.98250941368</v>
      </c>
      <c r="P42" s="39" t="n">
        <f aca="false">IF((J42/$L$25)/(O42/4096)*100 &gt; 100, 100, (J42/$L$25)/(O42/4096)*100)</f>
        <v>64.960394857302</v>
      </c>
      <c r="Q42" s="40" t="n">
        <f aca="false">(IF(((P42/100)*(460)+50)&lt;510,((P42/100)*(460)+50),510))/100</f>
        <v>3.48817816343589</v>
      </c>
    </row>
    <row r="43" customFormat="false" ht="19.7" hidden="false" customHeight="false" outlineLevel="0" collapsed="false">
      <c r="C43" s="11"/>
      <c r="J43" s="37" t="n">
        <f aca="false">IF(($K$18-(1.4*($J$18-$H$11))-$I$11)&lt;0, 0, ($K$18-(1.4*($J$18-$H$11))-$I$11))</f>
        <v>652.799999999999</v>
      </c>
      <c r="K43" s="38" t="n">
        <f aca="false">IF(($L$18-(1.05*($J$18-$H$11))-$J$11)&lt;0, 0, ($L$18-(1.05*($J$18-$H$11))-$J$11))</f>
        <v>598.85</v>
      </c>
      <c r="L43" s="38" t="n">
        <f aca="false">($M$25*(J43/K43)-6.3)*4096</f>
        <v>3810.45268072391</v>
      </c>
      <c r="M43" s="38" t="n">
        <f aca="false">IF(L43&lt;0,65535+L43,L43)</f>
        <v>3810.45268072391</v>
      </c>
      <c r="N43" s="38" t="n">
        <f aca="false">IF(M43 &lt; $O$25,$O$25,M43)</f>
        <v>3920.98250941368</v>
      </c>
      <c r="O43" s="38" t="n">
        <f aca="false">IF(OR(J43&lt;$N$25,K43=0),(O42),((O42*3)+N43)/4)</f>
        <v>3920.98250941368</v>
      </c>
      <c r="P43" s="39" t="n">
        <f aca="false">IF((J43/$L$25)/(O43/4096)*100 &gt; 100, 100, (J43/$L$25)/(O43/4096)*100)</f>
        <v>64.960394857302</v>
      </c>
      <c r="Q43" s="40" t="n">
        <f aca="false">(IF(((P43/100)*(460)+50)&lt;510,((P43/100)*(460)+50),510))/100</f>
        <v>3.48817816343589</v>
      </c>
    </row>
    <row r="44" customFormat="false" ht="19.7" hidden="false" customHeight="false" outlineLevel="0" collapsed="false">
      <c r="C44" s="11"/>
      <c r="J44" s="37" t="n">
        <f aca="false">IF(($K$18-(1.4*($J$18-$H$11))-$I$11)&lt;0, 0, ($K$18-(1.4*($J$18-$H$11))-$I$11))</f>
        <v>652.799999999999</v>
      </c>
      <c r="K44" s="38" t="n">
        <f aca="false">IF(($L$18-(1.05*($J$18-$H$11))-$J$11)&lt;0, 0, ($L$18-(1.05*($J$18-$H$11))-$J$11))</f>
        <v>598.85</v>
      </c>
      <c r="L44" s="38" t="n">
        <f aca="false">($M$25*(J44/K44)-6.3)*4096</f>
        <v>3810.45268072391</v>
      </c>
      <c r="M44" s="38" t="n">
        <f aca="false">IF(L44&lt;0,65535+L44,L44)</f>
        <v>3810.45268072391</v>
      </c>
      <c r="N44" s="38" t="n">
        <f aca="false">IF(M44 &lt; $O$25,$O$25,M44)</f>
        <v>3920.98250941368</v>
      </c>
      <c r="O44" s="38" t="n">
        <f aca="false">IF(OR(J44&lt;$N$25,K44=0),(O43),((O43*3)+N44)/4)</f>
        <v>3920.98250941368</v>
      </c>
      <c r="P44" s="39" t="n">
        <f aca="false">IF((J44/$L$25)/(O44/4096)*100 &gt; 100, 100, (J44/$L$25)/(O44/4096)*100)</f>
        <v>64.960394857302</v>
      </c>
      <c r="Q44" s="40" t="n">
        <f aca="false">(IF(((P44/100)*(460)+50)&lt;510,((P44/100)*(460)+50),510))/100</f>
        <v>3.48817816343589</v>
      </c>
    </row>
    <row r="45" customFormat="false" ht="13.8" hidden="false" customHeight="false" outlineLevel="0" collapsed="false">
      <c r="J45" s="37" t="n">
        <f aca="false">IF(($K$18-(1.4*($J$18-$H$11))-$I$11)&lt;0, 0, ($K$18-(1.4*($J$18-$H$11))-$I$11))</f>
        <v>652.799999999999</v>
      </c>
      <c r="K45" s="38" t="n">
        <f aca="false">IF(($L$18-(1.05*($J$18-$H$11))-$J$11)&lt;0, 0, ($L$18-(1.05*($J$18-$H$11))-$J$11))</f>
        <v>598.85</v>
      </c>
      <c r="L45" s="38" t="n">
        <f aca="false">($M$25*(J45/K45)-6.3)*4096</f>
        <v>3810.45268072391</v>
      </c>
      <c r="M45" s="38" t="n">
        <f aca="false">IF(L45&lt;0,65535+L45,L45)</f>
        <v>3810.45268072391</v>
      </c>
      <c r="N45" s="38" t="n">
        <f aca="false">IF(M45 &lt; $O$25,$O$25,M45)</f>
        <v>3920.98250941368</v>
      </c>
      <c r="O45" s="38" t="n">
        <f aca="false">IF(OR(J45&lt;$N$25,K45=0),(O44),((O44*3)+N45)/4)</f>
        <v>3920.98250941368</v>
      </c>
      <c r="P45" s="39" t="n">
        <f aca="false">IF((J45/$L$25)/(O45/4096)*100 &gt; 100, 100, (J45/$L$25)/(O45/4096)*100)</f>
        <v>64.960394857302</v>
      </c>
      <c r="Q45" s="40" t="n">
        <f aca="false">(IF(((P45/100)*(460)+50)&lt;510,((P45/100)*(460)+50),510))/100</f>
        <v>3.48817816343589</v>
      </c>
    </row>
    <row r="46" customFormat="false" ht="13.8" hidden="false" customHeight="false" outlineLevel="0" collapsed="false">
      <c r="J46" s="37" t="n">
        <f aca="false">IF(($K$18-(1.4*($J$18-$H$11))-$I$11)&lt;0, 0, ($K$18-(1.4*($J$18-$H$11))-$I$11))</f>
        <v>652.799999999999</v>
      </c>
      <c r="K46" s="38" t="n">
        <f aca="false">IF(($L$18-(1.05*($J$18-$H$11))-$J$11)&lt;0, 0, ($L$18-(1.05*($J$18-$H$11))-$J$11))</f>
        <v>598.85</v>
      </c>
      <c r="L46" s="38" t="n">
        <f aca="false">($M$25*(J46/K46)-6.3)*4096</f>
        <v>3810.45268072391</v>
      </c>
      <c r="M46" s="38" t="n">
        <f aca="false">IF(L46&lt;0,65535+L46,L46)</f>
        <v>3810.45268072391</v>
      </c>
      <c r="N46" s="38" t="n">
        <f aca="false">IF(M46 &lt; $O$25,$O$25,M46)</f>
        <v>3920.98250941368</v>
      </c>
      <c r="O46" s="38" t="n">
        <f aca="false">IF(OR(J46&lt;$N$25,K46=0),(O45),((O45*3)+N46)/4)</f>
        <v>3920.98250941368</v>
      </c>
      <c r="P46" s="39" t="n">
        <f aca="false">IF((J46/$L$25)/(O46/4096)*100 &gt; 100, 100, (J46/$L$25)/(O46/4096)*100)</f>
        <v>64.960394857302</v>
      </c>
      <c r="Q46" s="40" t="n">
        <f aca="false">(IF(((P46/100)*(460)+50)&lt;510,((P46/100)*(460)+50),510))/100</f>
        <v>3.48817816343589</v>
      </c>
    </row>
    <row r="47" customFormat="false" ht="13.8" hidden="false" customHeight="false" outlineLevel="0" collapsed="false">
      <c r="J47" s="37" t="n">
        <f aca="false">IF(($K$18-(1.4*($J$18-$H$11))-$I$11)&lt;0, 0, ($K$18-(1.4*($J$18-$H$11))-$I$11))</f>
        <v>652.799999999999</v>
      </c>
      <c r="K47" s="38" t="n">
        <f aca="false">IF(($L$18-(1.05*($J$18-$H$11))-$J$11)&lt;0, 0, ($L$18-(1.05*($J$18-$H$11))-$J$11))</f>
        <v>598.85</v>
      </c>
      <c r="L47" s="38" t="n">
        <f aca="false">($M$25*(J47/K47)-6.3)*4096</f>
        <v>3810.45268072391</v>
      </c>
      <c r="M47" s="38" t="n">
        <f aca="false">IF(L47&lt;0,65535+L47,L47)</f>
        <v>3810.45268072391</v>
      </c>
      <c r="N47" s="38" t="n">
        <f aca="false">IF(M47 &lt; $O$25,$O$25,M47)</f>
        <v>3920.98250941368</v>
      </c>
      <c r="O47" s="38" t="n">
        <f aca="false">IF(OR(J47&lt;$N$25,K47=0),(O46),((O46*3)+N47)/4)</f>
        <v>3920.98250941368</v>
      </c>
      <c r="P47" s="39" t="n">
        <f aca="false">IF((J47/$L$25)/(O47/4096)*100 &gt; 100, 100, (J47/$L$25)/(O47/4096)*100)</f>
        <v>64.960394857302</v>
      </c>
      <c r="Q47" s="40" t="n">
        <f aca="false">(IF(((P47/100)*(460)+50)&lt;510,((P47/100)*(460)+50),510))/100</f>
        <v>3.48817816343589</v>
      </c>
    </row>
    <row r="48" customFormat="false" ht="13.8" hidden="false" customHeight="false" outlineLevel="0" collapsed="false">
      <c r="J48" s="37" t="n">
        <f aca="false">IF(($K$18-(1.4*($J$18-$H$11))-$I$11)&lt;0, 0, ($K$18-(1.4*($J$18-$H$11))-$I$11))</f>
        <v>652.799999999999</v>
      </c>
      <c r="K48" s="38" t="n">
        <f aca="false">IF(($L$18-(1.05*($J$18-$H$11))-$J$11)&lt;0, 0, ($L$18-(1.05*($J$18-$H$11))-$J$11))</f>
        <v>598.85</v>
      </c>
      <c r="L48" s="38" t="n">
        <f aca="false">($M$25*(J48/K48)-6.3)*4096</f>
        <v>3810.45268072391</v>
      </c>
      <c r="M48" s="38" t="n">
        <f aca="false">IF(L48&lt;0,65535+L48,L48)</f>
        <v>3810.45268072391</v>
      </c>
      <c r="N48" s="38" t="n">
        <f aca="false">IF(M48 &lt; $O$25,$O$25,M48)</f>
        <v>3920.98250941368</v>
      </c>
      <c r="O48" s="38" t="n">
        <f aca="false">IF(OR(J48&lt;$N$25,K48=0),(O47),((O47*3)+N48)/4)</f>
        <v>3920.98250941368</v>
      </c>
      <c r="P48" s="39" t="n">
        <f aca="false">IF((J48/$L$25)/(O48/4096)*100 &gt; 100, 100, (J48/$L$25)/(O48/4096)*100)</f>
        <v>64.960394857302</v>
      </c>
      <c r="Q48" s="40" t="n">
        <f aca="false">(IF(((P48/100)*(460)+50)&lt;510,((P48/100)*(460)+50),510))/100</f>
        <v>3.48817816343589</v>
      </c>
    </row>
    <row r="49" customFormat="false" ht="13.8" hidden="false" customHeight="false" outlineLevel="0" collapsed="false">
      <c r="J49" s="37" t="n">
        <f aca="false">IF(($K$18-(1.4*($J$18-$H$11))-$I$11)&lt;0, 0, ($K$18-(1.4*($J$18-$H$11))-$I$11))</f>
        <v>652.799999999999</v>
      </c>
      <c r="K49" s="38" t="n">
        <f aca="false">IF(($L$18-(1.05*($J$18-$H$11))-$J$11)&lt;0, 0, ($L$18-(1.05*($J$18-$H$11))-$J$11))</f>
        <v>598.85</v>
      </c>
      <c r="L49" s="38" t="n">
        <f aca="false">($M$25*(J49/K49)-6.3)*4096</f>
        <v>3810.45268072391</v>
      </c>
      <c r="M49" s="38" t="n">
        <f aca="false">IF(L49&lt;0,65535+L49,L49)</f>
        <v>3810.45268072391</v>
      </c>
      <c r="N49" s="38" t="n">
        <f aca="false">IF(M49 &lt; $O$25,$O$25,M49)</f>
        <v>3920.98250941368</v>
      </c>
      <c r="O49" s="38" t="n">
        <f aca="false">IF(OR(J49&lt;$N$25,K49=0),(O48),((O48*3)+N49)/4)</f>
        <v>3920.98250941368</v>
      </c>
      <c r="P49" s="39" t="n">
        <f aca="false">IF((J49/$L$25)/(O49/4096)*100 &gt; 100, 100, (J49/$L$25)/(O49/4096)*100)</f>
        <v>64.960394857302</v>
      </c>
      <c r="Q49" s="40" t="n">
        <f aca="false">(IF(((P49/100)*(460)+50)&lt;510,((P49/100)*(460)+50),510))/100</f>
        <v>3.48817816343589</v>
      </c>
    </row>
    <row r="50" customFormat="false" ht="13.8" hidden="false" customHeight="false" outlineLevel="0" collapsed="false">
      <c r="C50" s="5"/>
      <c r="J50" s="37" t="n">
        <f aca="false">IF(($K$18-(1.4*($J$18-$H$11))-$I$11)&lt;0, 0, ($K$18-(1.4*($J$18-$H$11))-$I$11))</f>
        <v>652.799999999999</v>
      </c>
      <c r="K50" s="38" t="n">
        <f aca="false">IF(($L$18-(1.05*($J$18-$H$11))-$J$11)&lt;0, 0, ($L$18-(1.05*($J$18-$H$11))-$J$11))</f>
        <v>598.85</v>
      </c>
      <c r="L50" s="38" t="n">
        <f aca="false">($M$25*(J50/K50)-6.3)*4096</f>
        <v>3810.45268072391</v>
      </c>
      <c r="M50" s="38" t="n">
        <f aca="false">IF(L50&lt;0,65535+L50,L50)</f>
        <v>3810.45268072391</v>
      </c>
      <c r="N50" s="38" t="n">
        <f aca="false">IF(M50 &lt; $O$25,$O$25,M50)</f>
        <v>3920.98250941368</v>
      </c>
      <c r="O50" s="38" t="n">
        <f aca="false">IF(OR(J50&lt;$N$25,K50=0),(O49),((O49*3)+N50)/4)</f>
        <v>3920.98250941368</v>
      </c>
      <c r="P50" s="39" t="n">
        <f aca="false">IF((J50/$L$25)/(O50/4096)*100 &gt; 100, 100, (J50/$L$25)/(O50/4096)*100)</f>
        <v>64.960394857302</v>
      </c>
      <c r="Q50" s="40" t="n">
        <f aca="false">(IF(((P50/100)*(460)+50)&lt;510,((P50/100)*(460)+50),510))/100</f>
        <v>3.48817816343589</v>
      </c>
    </row>
    <row r="51" customFormat="false" ht="13.8" hidden="false" customHeight="false" outlineLevel="0" collapsed="false">
      <c r="J51" s="37" t="n">
        <f aca="false">IF(($K$18-(1.4*($J$18-$H$11))-$I$11)&lt;0, 0, ($K$18-(1.4*($J$18-$H$11))-$I$11))</f>
        <v>652.799999999999</v>
      </c>
      <c r="K51" s="38" t="n">
        <f aca="false">IF(($L$18-(1.05*($J$18-$H$11))-$J$11)&lt;0, 0, ($L$18-(1.05*($J$18-$H$11))-$J$11))</f>
        <v>598.85</v>
      </c>
      <c r="L51" s="38" t="n">
        <f aca="false">($M$25*(J51/K51)-6.3)*4096</f>
        <v>3810.45268072391</v>
      </c>
      <c r="M51" s="38" t="n">
        <f aca="false">IF(L51&lt;0,65535+L51,L51)</f>
        <v>3810.45268072391</v>
      </c>
      <c r="N51" s="38" t="n">
        <f aca="false">IF(M51 &lt; $O$25,$O$25,M51)</f>
        <v>3920.98250941368</v>
      </c>
      <c r="O51" s="38" t="n">
        <f aca="false">IF(OR(J51&lt;$N$25,K51=0),(O50),((O50*3)+N51)/4)</f>
        <v>3920.98250941368</v>
      </c>
      <c r="P51" s="39" t="n">
        <f aca="false">IF((J51/$L$25)/(O51/4096)*100 &gt; 100, 100, (J51/$L$25)/(O51/4096)*100)</f>
        <v>64.960394857302</v>
      </c>
      <c r="Q51" s="40" t="n">
        <f aca="false">(IF(((P51/100)*(460)+50)&lt;510,((P51/100)*(460)+50),510))/100</f>
        <v>3.48817816343589</v>
      </c>
    </row>
    <row r="52" customFormat="false" ht="13.8" hidden="false" customHeight="false" outlineLevel="0" collapsed="false">
      <c r="J52" s="41" t="n">
        <f aca="false">IF(($K$18-(1.4*($J$18-$H$11))-$I$11)&lt;0, 0, ($K$18-(1.4*($J$18-$H$11))-$I$11))</f>
        <v>652.799999999999</v>
      </c>
      <c r="K52" s="42" t="n">
        <f aca="false">IF(($L$18-(1.05*($J$18-$H$11))-$J$11)&lt;0, 0, ($L$18-(1.05*($J$18-$H$11))-$J$11))</f>
        <v>598.85</v>
      </c>
      <c r="L52" s="42" t="n">
        <f aca="false">($M$25*(J52/K52)-6.3)*4096</f>
        <v>3810.45268072391</v>
      </c>
      <c r="M52" s="42" t="n">
        <f aca="false">IF(L52&lt;0,65535+L52,L52)</f>
        <v>3810.45268072391</v>
      </c>
      <c r="N52" s="42" t="n">
        <f aca="false">IF(M52 &lt; $O$25,$O$25,M52)</f>
        <v>3920.98250941368</v>
      </c>
      <c r="O52" s="38" t="n">
        <f aca="false">IF(OR(J52&lt;$N$25,K52=0),(O51),((O51*3)+N52)/4)</f>
        <v>3920.98250941368</v>
      </c>
      <c r="P52" s="43" t="n">
        <f aca="false">IF((J52/$L$25)/(O52/4096)*100 &gt; 100, 100, (J52/$L$25)/(O52/4096)*100)</f>
        <v>64.960394857302</v>
      </c>
      <c r="Q52" s="44" t="n">
        <f aca="false">(IF(((P52/100)*(460)+50)&lt;510,((P52/100)*(460)+50),510))/100</f>
        <v>3.48817816343589</v>
      </c>
    </row>
    <row r="53" customFormat="false" ht="13.8" hidden="false" customHeight="false" outlineLevel="0" collapsed="false">
      <c r="I53" s="38"/>
      <c r="J53" s="38"/>
      <c r="K53" s="38"/>
      <c r="L53" s="38"/>
      <c r="M53" s="38"/>
      <c r="N53" s="39"/>
      <c r="O53" s="39"/>
    </row>
    <row r="62" customFormat="false" ht="13.8" hidden="false" customHeight="false" outlineLevel="0" collapsed="false">
      <c r="G62" s="29"/>
      <c r="H62" s="29"/>
    </row>
    <row r="75" customFormat="false" ht="13.8" hidden="false" customHeight="false" outlineLevel="0" collapsed="false">
      <c r="H75" s="38"/>
    </row>
  </sheetData>
  <mergeCells count="16">
    <mergeCell ref="C2:D2"/>
    <mergeCell ref="B3:C3"/>
    <mergeCell ref="D3:N3"/>
    <mergeCell ref="B5:C5"/>
    <mergeCell ref="D5:N6"/>
    <mergeCell ref="H9:O9"/>
    <mergeCell ref="J16:L16"/>
    <mergeCell ref="B21:G21"/>
    <mergeCell ref="J22:Q22"/>
    <mergeCell ref="J23:Q23"/>
    <mergeCell ref="K27:P28"/>
    <mergeCell ref="B34:G34"/>
    <mergeCell ref="B35:G35"/>
    <mergeCell ref="B37:G37"/>
    <mergeCell ref="B38:G38"/>
    <mergeCell ref="B39:G39"/>
  </mergeCells>
  <hyperlinks>
    <hyperlink ref="M10" r:id="rId1" display="div@cal"/>
    <hyperlink ref="O24" r:id="rId2" display="div@cal *0.97"/>
    <hyperlink ref="B25" r:id="rId3" display="div @ cal = m(raw P1 span/raw P2 span)-6.3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G35" activeCellId="0" sqref="G35"/>
    </sheetView>
  </sheetViews>
  <sheetFormatPr defaultColWidth="8.4882812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14"/>
    <col collapsed="false" customWidth="true" hidden="false" outlineLevel="0" max="3" min="3" style="0" width="19.85"/>
    <col collapsed="false" customWidth="true" hidden="false" outlineLevel="0" max="4" min="4" style="0" width="22.01"/>
    <col collapsed="false" customWidth="true" hidden="false" outlineLevel="0" max="5" min="5" style="0" width="57.42"/>
    <col collapsed="false" customWidth="true" hidden="false" outlineLevel="0" max="6" min="6" style="0" width="7.71"/>
    <col collapsed="false" customWidth="true" hidden="false" outlineLevel="0" max="7" min="7" style="90" width="18.58"/>
    <col collapsed="false" customWidth="true" hidden="false" outlineLevel="0" max="8" min="8" style="0" width="18"/>
    <col collapsed="false" customWidth="true" hidden="false" outlineLevel="0" max="9" min="9" style="0" width="2.99"/>
    <col collapsed="false" customWidth="true" hidden="false" outlineLevel="0" max="10" min="10" style="90" width="15.57"/>
    <col collapsed="false" customWidth="true" hidden="false" outlineLevel="0" max="11" min="11" style="90" width="18.58"/>
    <col collapsed="false" customWidth="true" hidden="false" outlineLevel="0" max="12" min="12" style="0" width="26.85"/>
    <col collapsed="false" customWidth="true" hidden="false" outlineLevel="0" max="13" min="13" style="0" width="26.13"/>
    <col collapsed="false" customWidth="true" hidden="false" outlineLevel="0" max="15" min="15" style="0" width="22.86"/>
    <col collapsed="false" customWidth="true" hidden="false" outlineLevel="0" max="16" min="16" style="0" width="22.43"/>
    <col collapsed="false" customWidth="true" hidden="false" outlineLevel="0" max="17" min="17" style="0" width="15.88"/>
    <col collapsed="false" customWidth="true" hidden="false" outlineLevel="0" max="18" min="18" style="0" width="15.71"/>
    <col collapsed="false" customWidth="true" hidden="false" outlineLevel="0" max="19" min="19" style="0" width="21.86"/>
    <col collapsed="false" customWidth="true" hidden="false" outlineLevel="0" max="20" min="20" style="0" width="21.43"/>
    <col collapsed="false" customWidth="true" hidden="false" outlineLevel="0" max="22" min="22" style="0" width="12.29"/>
    <col collapsed="false" customWidth="true" hidden="false" outlineLevel="0" max="23" min="23" style="0" width="12.57"/>
  </cols>
  <sheetData>
    <row r="1" customFormat="false" ht="15" hidden="false" customHeight="false" outlineLevel="0" collapsed="false">
      <c r="B1" s="91"/>
      <c r="C1" s="92" t="s">
        <v>141</v>
      </c>
      <c r="D1" s="93" t="s">
        <v>142</v>
      </c>
      <c r="E1" s="92" t="s">
        <v>143</v>
      </c>
      <c r="F1" s="93" t="s">
        <v>144</v>
      </c>
      <c r="G1" s="90" t="s">
        <v>145</v>
      </c>
      <c r="H1" s="0" t="s">
        <v>146</v>
      </c>
      <c r="J1" s="90" t="s">
        <v>145</v>
      </c>
      <c r="K1" s="90" t="s">
        <v>145</v>
      </c>
    </row>
    <row r="2" customFormat="false" ht="15" hidden="false" customHeight="false" outlineLevel="0" collapsed="false">
      <c r="B2" s="91" t="s">
        <v>147</v>
      </c>
      <c r="C2" s="92" t="s">
        <v>148</v>
      </c>
      <c r="D2" s="93"/>
      <c r="E2" s="92"/>
      <c r="F2" s="93" t="s">
        <v>149</v>
      </c>
      <c r="G2" s="90" t="n">
        <v>1.4</v>
      </c>
      <c r="J2" s="90" t="n">
        <v>1.4</v>
      </c>
      <c r="K2" s="90" t="n">
        <v>1.4</v>
      </c>
    </row>
    <row r="3" customFormat="false" ht="15" hidden="false" customHeight="false" outlineLevel="0" collapsed="false">
      <c r="B3" s="91" t="s">
        <v>150</v>
      </c>
      <c r="C3" s="92" t="s">
        <v>151</v>
      </c>
      <c r="D3" s="93"/>
      <c r="E3" s="92"/>
      <c r="F3" s="93" t="s">
        <v>149</v>
      </c>
      <c r="G3" s="90" t="n">
        <v>1.05</v>
      </c>
      <c r="J3" s="90" t="n">
        <v>1.05</v>
      </c>
      <c r="K3" s="90" t="n">
        <v>1.05</v>
      </c>
    </row>
    <row r="4" customFormat="false" ht="15" hidden="false" customHeight="false" outlineLevel="0" collapsed="false">
      <c r="B4" s="91"/>
      <c r="C4" s="92"/>
      <c r="D4" s="91"/>
      <c r="E4" s="92"/>
      <c r="F4" s="93"/>
    </row>
    <row r="5" customFormat="false" ht="15" hidden="false" customHeight="false" outlineLevel="0" collapsed="false">
      <c r="B5" s="91" t="s">
        <v>152</v>
      </c>
      <c r="C5" s="92" t="s">
        <v>153</v>
      </c>
      <c r="D5" s="91" t="s">
        <v>154</v>
      </c>
      <c r="G5" s="90" t="n">
        <v>9676</v>
      </c>
      <c r="J5" s="90" t="n">
        <v>9603</v>
      </c>
      <c r="K5" s="90" t="n">
        <v>9603</v>
      </c>
    </row>
    <row r="6" customFormat="false" ht="15" hidden="false" customHeight="false" outlineLevel="0" collapsed="false">
      <c r="B6" s="91" t="s">
        <v>155</v>
      </c>
      <c r="C6" s="92" t="s">
        <v>156</v>
      </c>
      <c r="D6" s="91" t="s">
        <v>157</v>
      </c>
      <c r="G6" s="90" t="n">
        <v>14854</v>
      </c>
      <c r="J6" s="90" t="n">
        <v>17709</v>
      </c>
      <c r="K6" s="90" t="n">
        <v>16545</v>
      </c>
    </row>
    <row r="7" customFormat="false" ht="15" hidden="false" customHeight="false" outlineLevel="0" collapsed="false">
      <c r="B7" s="91" t="s">
        <v>158</v>
      </c>
      <c r="C7" s="92" t="s">
        <v>159</v>
      </c>
      <c r="D7" s="91" t="s">
        <v>160</v>
      </c>
      <c r="G7" s="90" t="n">
        <v>15293</v>
      </c>
      <c r="J7" s="90" t="n">
        <v>16545</v>
      </c>
      <c r="K7" s="90" t="n">
        <v>17709</v>
      </c>
    </row>
    <row r="8" customFormat="false" ht="15" hidden="false" customHeight="false" outlineLevel="0" collapsed="false">
      <c r="B8" s="91"/>
      <c r="C8" s="92"/>
      <c r="D8" s="91"/>
    </row>
    <row r="9" customFormat="false" ht="26" hidden="false" customHeight="false" outlineLevel="0" collapsed="false">
      <c r="A9" s="94" t="s">
        <v>161</v>
      </c>
      <c r="B9" s="91" t="s">
        <v>162</v>
      </c>
      <c r="C9" s="92" t="s">
        <v>163</v>
      </c>
      <c r="D9" s="91" t="s">
        <v>164</v>
      </c>
      <c r="G9" s="90" t="n">
        <v>9676</v>
      </c>
      <c r="J9" s="90" t="n">
        <v>9576</v>
      </c>
      <c r="K9" s="90" t="n">
        <v>9576</v>
      </c>
    </row>
    <row r="10" customFormat="false" ht="15" hidden="false" customHeight="false" outlineLevel="0" collapsed="false">
      <c r="A10" s="94"/>
      <c r="B10" s="91" t="s">
        <v>165</v>
      </c>
      <c r="C10" s="92" t="s">
        <v>166</v>
      </c>
      <c r="D10" s="91" t="s">
        <v>167</v>
      </c>
      <c r="G10" s="90" t="n">
        <v>13222</v>
      </c>
      <c r="J10" s="90" t="n">
        <v>15764</v>
      </c>
      <c r="K10" s="90" t="n">
        <v>14727</v>
      </c>
    </row>
    <row r="11" customFormat="false" ht="15" hidden="false" customHeight="false" outlineLevel="0" collapsed="false">
      <c r="A11" s="94"/>
      <c r="B11" s="91" t="s">
        <v>168</v>
      </c>
      <c r="C11" s="92" t="s">
        <v>169</v>
      </c>
      <c r="D11" s="91" t="s">
        <v>170</v>
      </c>
      <c r="G11" s="90" t="n">
        <v>13816</v>
      </c>
      <c r="J11" s="90" t="n">
        <v>14727</v>
      </c>
      <c r="K11" s="90" t="n">
        <v>15764</v>
      </c>
    </row>
    <row r="12" customFormat="false" ht="13.8" hidden="false" customHeight="false" outlineLevel="0" collapsed="false">
      <c r="A12" s="95"/>
    </row>
    <row r="13" customFormat="false" ht="15" hidden="false" customHeight="false" outlineLevel="0" collapsed="false">
      <c r="B13" s="91"/>
      <c r="C13" s="69"/>
      <c r="D13" s="93"/>
    </row>
    <row r="14" customFormat="false" ht="15" hidden="false" customHeight="false" outlineLevel="0" collapsed="false">
      <c r="A14" s="94" t="s">
        <v>171</v>
      </c>
      <c r="B14" s="91" t="s">
        <v>172</v>
      </c>
      <c r="C14" s="92" t="s">
        <v>173</v>
      </c>
      <c r="D14" s="91" t="s">
        <v>174</v>
      </c>
      <c r="G14" s="90" t="n">
        <v>14854</v>
      </c>
      <c r="J14" s="90" t="n">
        <v>18199</v>
      </c>
      <c r="K14" s="90" t="n">
        <v>17355</v>
      </c>
    </row>
    <row r="15" customFormat="false" ht="15" hidden="false" customHeight="false" outlineLevel="0" collapsed="false">
      <c r="A15" s="94"/>
      <c r="B15" s="91" t="s">
        <v>175</v>
      </c>
      <c r="C15" s="92" t="s">
        <v>176</v>
      </c>
      <c r="D15" s="91" t="s">
        <v>177</v>
      </c>
      <c r="G15" s="90" t="n">
        <v>15293</v>
      </c>
      <c r="J15" s="90" t="n">
        <v>17355</v>
      </c>
      <c r="K15" s="90" t="n">
        <v>18199</v>
      </c>
    </row>
    <row r="16" customFormat="false" ht="26" hidden="false" customHeight="false" outlineLevel="0" collapsed="false">
      <c r="A16" s="94"/>
      <c r="B16" s="91" t="s">
        <v>178</v>
      </c>
      <c r="C16" s="92" t="s">
        <v>179</v>
      </c>
      <c r="D16" s="91" t="s">
        <v>180</v>
      </c>
      <c r="E16" s="92" t="s">
        <v>181</v>
      </c>
      <c r="G16" s="90" t="n">
        <f aca="false">G14-G10</f>
        <v>1632</v>
      </c>
      <c r="J16" s="90" t="n">
        <f aca="false">J14-J10</f>
        <v>2435</v>
      </c>
      <c r="K16" s="90" t="n">
        <f aca="false">K14-K10</f>
        <v>2628</v>
      </c>
    </row>
    <row r="17" customFormat="false" ht="26" hidden="false" customHeight="false" outlineLevel="0" collapsed="false">
      <c r="A17" s="94"/>
      <c r="B17" s="91" t="s">
        <v>182</v>
      </c>
      <c r="C17" s="92" t="s">
        <v>183</v>
      </c>
      <c r="D17" s="91" t="s">
        <v>184</v>
      </c>
      <c r="E17" s="92" t="s">
        <v>185</v>
      </c>
      <c r="G17" s="90" t="n">
        <f aca="false">G15-G11</f>
        <v>1477</v>
      </c>
      <c r="J17" s="90" t="n">
        <f aca="false">J15-J11</f>
        <v>2628</v>
      </c>
      <c r="K17" s="90" t="n">
        <f aca="false">K15-K11</f>
        <v>2435</v>
      </c>
    </row>
    <row r="18" s="64" customFormat="true" ht="15" hidden="false" customHeight="false" outlineLevel="0" collapsed="false">
      <c r="A18" s="96"/>
      <c r="B18" s="97"/>
      <c r="C18" s="98"/>
      <c r="D18" s="97"/>
      <c r="E18" s="98"/>
      <c r="G18" s="96"/>
      <c r="J18" s="96"/>
      <c r="K18" s="96"/>
    </row>
    <row r="19" customFormat="false" ht="15" hidden="false" customHeight="true" outlineLevel="0" collapsed="false">
      <c r="A19" s="99" t="s">
        <v>186</v>
      </c>
      <c r="B19" s="91"/>
      <c r="C19" s="92" t="s">
        <v>24</v>
      </c>
      <c r="D19" s="91" t="s">
        <v>187</v>
      </c>
      <c r="E19" s="92" t="s">
        <v>188</v>
      </c>
      <c r="G19" s="90" t="n">
        <f aca="false">14.4-(7.07*(G16/G17))</f>
        <v>6.58805687203792</v>
      </c>
      <c r="J19" s="90" t="n">
        <f aca="false">14.4-(7.07*(J16/J17))</f>
        <v>7.8492199391172</v>
      </c>
      <c r="K19" s="90" t="n">
        <f aca="false">14.4-(7.07*(K16/K17))</f>
        <v>6.76962628336756</v>
      </c>
    </row>
    <row r="20" customFormat="false" ht="26" hidden="false" customHeight="false" outlineLevel="0" collapsed="false">
      <c r="A20" s="99"/>
      <c r="B20" s="91"/>
      <c r="C20" s="100" t="s">
        <v>12</v>
      </c>
      <c r="D20" s="91" t="s">
        <v>189</v>
      </c>
      <c r="E20" s="92" t="s">
        <v>190</v>
      </c>
      <c r="G20" s="90" t="n">
        <f aca="false">(G19*(G16/G17))-6.3</f>
        <v>0.979423706950493</v>
      </c>
      <c r="J20" s="90" t="n">
        <f aca="false">(J19*(J16/J17))-6.3</f>
        <v>0.972774182553418</v>
      </c>
      <c r="K20" s="90" t="n">
        <f aca="false">(K19*(K16/K17))-6.3</f>
        <v>1.00619214484186</v>
      </c>
    </row>
    <row r="21" customFormat="false" ht="15" hidden="false" customHeight="false" outlineLevel="0" collapsed="false">
      <c r="A21" s="99"/>
      <c r="B21" s="91"/>
      <c r="C21" s="92" t="s">
        <v>23</v>
      </c>
      <c r="D21" s="91"/>
      <c r="E21" s="92" t="s">
        <v>191</v>
      </c>
      <c r="G21" s="101" t="n">
        <f aca="false">G16/G20</f>
        <v>1666.28598881004</v>
      </c>
      <c r="J21" s="101" t="n">
        <f aca="false">J16/J20</f>
        <v>2503.15031347605</v>
      </c>
      <c r="K21" s="101" t="n">
        <f aca="false">K16/K20</f>
        <v>2611.82718775152</v>
      </c>
    </row>
    <row r="22" s="64" customFormat="true" ht="15" hidden="false" customHeight="false" outlineLevel="0" collapsed="false">
      <c r="B22" s="97"/>
      <c r="C22" s="102"/>
      <c r="D22" s="97"/>
      <c r="E22" s="98"/>
      <c r="G22" s="96"/>
      <c r="J22" s="96"/>
      <c r="K22" s="96"/>
    </row>
    <row r="23" customFormat="false" ht="117" hidden="false" customHeight="false" outlineLevel="0" collapsed="false">
      <c r="B23" s="91" t="s">
        <v>192</v>
      </c>
      <c r="C23" s="103" t="s">
        <v>193</v>
      </c>
      <c r="D23" s="91" t="s">
        <v>194</v>
      </c>
      <c r="E23" s="92" t="s">
        <v>195</v>
      </c>
      <c r="F23" s="104" t="s">
        <v>196</v>
      </c>
      <c r="G23" s="90" t="n">
        <f aca="false">G5-G9</f>
        <v>0</v>
      </c>
      <c r="J23" s="90" t="n">
        <f aca="false">J5-J9</f>
        <v>27</v>
      </c>
      <c r="K23" s="90" t="n">
        <f aca="false">K5-K9</f>
        <v>27</v>
      </c>
    </row>
    <row r="24" customFormat="false" ht="15" hidden="false" customHeight="false" outlineLevel="0" collapsed="false">
      <c r="B24" s="91"/>
      <c r="C24" s="103"/>
      <c r="D24" s="91"/>
      <c r="E24" s="92"/>
    </row>
    <row r="25" customFormat="false" ht="15" hidden="false" customHeight="false" outlineLevel="0" collapsed="false">
      <c r="B25" s="91"/>
      <c r="C25" s="92" t="s">
        <v>197</v>
      </c>
      <c r="D25" s="91" t="s">
        <v>198</v>
      </c>
      <c r="E25" s="92" t="s">
        <v>199</v>
      </c>
      <c r="G25" s="90" t="n">
        <f aca="false">G2*G23</f>
        <v>0</v>
      </c>
      <c r="J25" s="90" t="n">
        <f aca="false">J2*J23</f>
        <v>37.8</v>
      </c>
      <c r="K25" s="90" t="n">
        <f aca="false">K2*K23</f>
        <v>37.8</v>
      </c>
    </row>
    <row r="26" customFormat="false" ht="15" hidden="false" customHeight="false" outlineLevel="0" collapsed="false">
      <c r="B26" s="91"/>
      <c r="C26" s="92" t="s">
        <v>200</v>
      </c>
      <c r="D26" s="91" t="s">
        <v>201</v>
      </c>
      <c r="E26" s="92" t="s">
        <v>202</v>
      </c>
      <c r="G26" s="90" t="n">
        <f aca="false">G3*G23</f>
        <v>0</v>
      </c>
      <c r="J26" s="90" t="n">
        <f aca="false">J3*J23</f>
        <v>28.35</v>
      </c>
      <c r="K26" s="90" t="n">
        <f aca="false">K3*K23</f>
        <v>28.35</v>
      </c>
    </row>
    <row r="27" customFormat="false" ht="13.8" hidden="false" customHeight="false" outlineLevel="0" collapsed="false">
      <c r="B27" s="105"/>
    </row>
    <row r="28" customFormat="false" ht="48" hidden="false" customHeight="false" outlineLevel="0" collapsed="false">
      <c r="B28" s="105" t="s">
        <v>203</v>
      </c>
      <c r="C28" s="106" t="s">
        <v>204</v>
      </c>
      <c r="E28" s="92" t="s">
        <v>205</v>
      </c>
      <c r="G28" s="90" t="n">
        <f aca="false">G6-G25-G10</f>
        <v>1632</v>
      </c>
      <c r="H28" s="105" t="s">
        <v>206</v>
      </c>
      <c r="J28" s="90" t="n">
        <f aca="false">J6-J25-J10</f>
        <v>1907.2</v>
      </c>
      <c r="K28" s="90" t="n">
        <f aca="false">K6-K25-K10</f>
        <v>1780.2</v>
      </c>
    </row>
    <row r="29" customFormat="false" ht="59.5" hidden="false" customHeight="false" outlineLevel="0" collapsed="false">
      <c r="B29" s="105" t="s">
        <v>207</v>
      </c>
      <c r="C29" s="106" t="s">
        <v>208</v>
      </c>
      <c r="E29" s="92" t="s">
        <v>209</v>
      </c>
      <c r="G29" s="90" t="n">
        <f aca="false">IF((G7-G26-G11)&lt;0, 1, G7-G26-G11)</f>
        <v>1477</v>
      </c>
      <c r="H29" s="105" t="s">
        <v>210</v>
      </c>
      <c r="J29" s="90" t="n">
        <f aca="false">IF((J7-J26-J11)&lt;0, 1, J7-J26-J11)</f>
        <v>1789.65</v>
      </c>
      <c r="K29" s="90" t="n">
        <f aca="false">IF((K7-K26-K11)&lt;0, 1, K7-K26-K11)</f>
        <v>1916.65</v>
      </c>
    </row>
    <row r="30" customFormat="false" ht="15" hidden="false" customHeight="false" outlineLevel="0" collapsed="false">
      <c r="B30" s="105"/>
      <c r="C30" s="106"/>
      <c r="E30" s="92"/>
      <c r="H30" s="105"/>
    </row>
    <row r="31" customFormat="false" ht="15" hidden="false" customHeight="false" outlineLevel="0" collapsed="false">
      <c r="B31" s="105" t="s">
        <v>211</v>
      </c>
      <c r="C31" s="107" t="s">
        <v>212</v>
      </c>
      <c r="E31" s="92" t="s">
        <v>213</v>
      </c>
      <c r="G31" s="90" t="n">
        <f aca="false">(G19*G28/G29)-6.3</f>
        <v>0.979423706950493</v>
      </c>
      <c r="H31" s="105"/>
      <c r="J31" s="90" t="n">
        <f aca="false">(J19*J28/J29)-6.3</f>
        <v>2.06478209028822</v>
      </c>
      <c r="K31" s="90" t="n">
        <f aca="false">(K19*K28/K29)-6.3</f>
        <v>-0.0123164324989329</v>
      </c>
    </row>
    <row r="32" customFormat="false" ht="48" hidden="false" customHeight="false" outlineLevel="0" collapsed="false">
      <c r="B32" s="105" t="s">
        <v>214</v>
      </c>
      <c r="C32" s="108" t="s">
        <v>215</v>
      </c>
      <c r="D32" s="105" t="s">
        <v>216</v>
      </c>
      <c r="F32" s="105" t="s">
        <v>217</v>
      </c>
      <c r="G32" s="90" t="n">
        <f aca="false">IF(G31&gt;(0.97*G20),G31,0.97*G20)</f>
        <v>0.979423706950493</v>
      </c>
      <c r="H32" s="58"/>
      <c r="J32" s="90" t="n">
        <f aca="false">IF(J31&gt;(0.97*J20),J31,0.97*J20)</f>
        <v>2.06478209028822</v>
      </c>
      <c r="K32" s="90" t="n">
        <f aca="false">IF(K31&gt;(0.97*K20),K31,0.97*K20)</f>
        <v>0.976006380496608</v>
      </c>
    </row>
    <row r="33" customFormat="false" ht="25" hidden="false" customHeight="false" outlineLevel="0" collapsed="false">
      <c r="B33" s="105" t="s">
        <v>218</v>
      </c>
      <c r="C33" s="108" t="s">
        <v>219</v>
      </c>
      <c r="D33" s="105" t="s">
        <v>220</v>
      </c>
    </row>
    <row r="34" customFormat="false" ht="94" hidden="false" customHeight="false" outlineLevel="0" collapsed="false">
      <c r="B34" s="105" t="s">
        <v>221</v>
      </c>
      <c r="D34" s="105" t="s">
        <v>222</v>
      </c>
      <c r="E34" s="109" t="s">
        <v>223</v>
      </c>
      <c r="G34" s="90" t="n">
        <f aca="false">(256*G4*G16)/256</f>
        <v>0</v>
      </c>
      <c r="J34" s="90" t="n">
        <f aca="false">(256*J4*J16)/256</f>
        <v>0</v>
      </c>
      <c r="K34" s="90" t="n">
        <f aca="false">(256*K4*K16)/256</f>
        <v>0</v>
      </c>
    </row>
    <row r="35" customFormat="false" ht="15" hidden="false" customHeight="false" outlineLevel="0" collapsed="false">
      <c r="B35" s="105" t="s">
        <v>224</v>
      </c>
      <c r="E35" s="92" t="s">
        <v>225</v>
      </c>
      <c r="G35" s="90" t="n">
        <f aca="false">G28/(G32*G21)</f>
        <v>1</v>
      </c>
      <c r="J35" s="90" t="n">
        <f aca="false">J28/(J32*J21)</f>
        <v>0.369007407120902</v>
      </c>
      <c r="K35" s="90" t="n">
        <f aca="false">K28/(K32*K21)</f>
        <v>0.698347691004097</v>
      </c>
    </row>
    <row r="36" customFormat="false" ht="13.8" hidden="false" customHeight="false" outlineLevel="0" collapsed="false">
      <c r="B36" s="105" t="s">
        <v>226</v>
      </c>
      <c r="F36" s="0" t="s">
        <v>227</v>
      </c>
      <c r="G36" s="90" t="n">
        <f aca="false">5*G35</f>
        <v>5.00000000000001</v>
      </c>
      <c r="J36" s="90" t="n">
        <f aca="false">5*J35</f>
        <v>1.84503703560451</v>
      </c>
      <c r="K36" s="90" t="n">
        <f aca="false">5*K35</f>
        <v>3.49173845502048</v>
      </c>
    </row>
  </sheetData>
  <mergeCells count="3">
    <mergeCell ref="A9:A11"/>
    <mergeCell ref="A14:A17"/>
    <mergeCell ref="A19:A21"/>
  </mergeCells>
  <hyperlinks>
    <hyperlink ref="C20" r:id="rId1" display="div@cal"/>
    <hyperlink ref="C31" r:id="rId2" display="div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2020-04-07T09:03:06Z</dcterms:created>
  <dc:creator>Khusboo Lalani</dc:creator>
  <dc:description/>
  <dc:language>en-IN</dc:language>
  <cp:lastModifiedBy/>
  <dcterms:modified xsi:type="dcterms:W3CDTF">2023-10-10T17:27:53Z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0x010100C73778AE14DFDD4087CDA5ACCB80D484</vt:lpwstr>
  </property>
</Properties>
</file>