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prana\Desktop\SCM P\"/>
    </mc:Choice>
  </mc:AlternateContent>
  <xr:revisionPtr revIDLastSave="0" documentId="13_ncr:1_{4078C0DC-31C7-40C6-B752-8EC633F1C2D6}" xr6:coauthVersionLast="45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MovingAverage" sheetId="1" r:id="rId1"/>
    <sheet name="ExponentialSmoothing" sheetId="2" r:id="rId2"/>
    <sheet name="Regression" sheetId="6" r:id="rId3"/>
    <sheet name="Static" sheetId="3" r:id="rId4"/>
    <sheet name="Regression2" sheetId="7" r:id="rId5"/>
    <sheet name="Holt" sheetId="4" r:id="rId6"/>
    <sheet name="Regression3" sheetId="9" r:id="rId7"/>
    <sheet name="Winter" sheetId="5" r:id="rId8"/>
  </sheets>
  <definedNames>
    <definedName name="ALPHA">Winter!$G$25</definedName>
    <definedName name="BETA">Winter!$G$26</definedName>
    <definedName name="GAMMA">Winter!$G$27</definedName>
    <definedName name="solver_adj" localSheetId="5" hidden="1">Holt!$E$24:$E$25</definedName>
    <definedName name="solver_adj" localSheetId="7" hidden="1">Winter!$G$25:$G$27</definedName>
    <definedName name="solver_cvg" localSheetId="7" hidden="1">0.0001</definedName>
    <definedName name="solver_drv" localSheetId="7" hidden="1">1</definedName>
    <definedName name="solver_eng" localSheetId="5" hidden="1">1</definedName>
    <definedName name="solver_eng" localSheetId="7" hidden="1">1</definedName>
    <definedName name="solver_est" localSheetId="7" hidden="1">1</definedName>
    <definedName name="solver_itr" localSheetId="5" hidden="1">2147483647</definedName>
    <definedName name="solver_itr" localSheetId="7" hidden="1">2147483647</definedName>
    <definedName name="solver_lhs1" localSheetId="5" hidden="1">Holt!$E$24:$E$25</definedName>
    <definedName name="solver_lhs1" localSheetId="7" hidden="1">Winter!$G$25:$G$27</definedName>
    <definedName name="solver_lhs2" localSheetId="5" hidden="1">Holt!$E$24:$E$25</definedName>
    <definedName name="solver_lhs2" localSheetId="7" hidden="1">Winter!$G$25:$G$27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5" hidden="1">1</definedName>
    <definedName name="solver_neg" localSheetId="7" hidden="1">1</definedName>
    <definedName name="solver_nod" localSheetId="7" hidden="1">2147483647</definedName>
    <definedName name="solver_num" localSheetId="5" hidden="1">2</definedName>
    <definedName name="solver_num" localSheetId="7" hidden="1">2</definedName>
    <definedName name="solver_nwt" localSheetId="7" hidden="1">1</definedName>
    <definedName name="solver_opt" localSheetId="5" hidden="1">Holt!$K$22</definedName>
    <definedName name="solver_opt" localSheetId="7" hidden="1">Winter!$M$22</definedName>
    <definedName name="solver_pre" localSheetId="7" hidden="1">0.000001</definedName>
    <definedName name="solver_rbv" localSheetId="7" hidden="1">1</definedName>
    <definedName name="solver_rel1" localSheetId="5" hidden="1">1</definedName>
    <definedName name="solver_rel1" localSheetId="7" hidden="1">1</definedName>
    <definedName name="solver_rel2" localSheetId="5" hidden="1">3</definedName>
    <definedName name="solver_rel2" localSheetId="7" hidden="1">3</definedName>
    <definedName name="solver_rhs1" localSheetId="5" hidden="1">1</definedName>
    <definedName name="solver_rhs1" localSheetId="7" hidden="1">1</definedName>
    <definedName name="solver_rhs2" localSheetId="5" hidden="1">0</definedName>
    <definedName name="solver_rhs2" localSheetId="7" hidden="1">0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5" hidden="1">2147483647</definedName>
    <definedName name="solver_tim" localSheetId="7" hidden="1">2147483647</definedName>
    <definedName name="solver_tol" localSheetId="7" hidden="1">0.01</definedName>
    <definedName name="solver_typ" localSheetId="5" hidden="1">2</definedName>
    <definedName name="solver_typ" localSheetId="7" hidden="1">2</definedName>
    <definedName name="solver_val" localSheetId="5" hidden="1">0</definedName>
    <definedName name="solver_val" localSheetId="7" hidden="1">0</definedName>
    <definedName name="solver_ver" localSheetId="5" hidden="1">3</definedName>
    <definedName name="solver_ver" localSheetId="7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  <c r="J3" i="2"/>
  <c r="I3" i="2"/>
  <c r="H3" i="2"/>
  <c r="G3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J21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6" i="1"/>
  <c r="E3" i="5" l="1"/>
  <c r="G7" i="5" s="1"/>
  <c r="F2" i="5"/>
  <c r="E2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5" i="5"/>
  <c r="D3" i="4"/>
  <c r="E2" i="4"/>
  <c r="D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H19" i="3"/>
  <c r="H20" i="3"/>
  <c r="H21" i="3"/>
  <c r="H18" i="3"/>
  <c r="H15" i="3"/>
  <c r="H16" i="3"/>
  <c r="H17" i="3"/>
  <c r="H14" i="3"/>
  <c r="H11" i="3"/>
  <c r="H12" i="3"/>
  <c r="H13" i="3"/>
  <c r="H10" i="3"/>
  <c r="H7" i="3"/>
  <c r="H8" i="3"/>
  <c r="H9" i="3"/>
  <c r="H6" i="3"/>
  <c r="H3" i="3"/>
  <c r="H4" i="3"/>
  <c r="H5" i="3"/>
  <c r="H2" i="3"/>
  <c r="G3" i="3"/>
  <c r="G4" i="3"/>
  <c r="G5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F24" i="3"/>
  <c r="F2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4" i="3"/>
  <c r="F3" i="2"/>
  <c r="E3" i="2"/>
  <c r="D2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5" i="1"/>
  <c r="E3" i="4" l="1"/>
  <c r="F3" i="4" s="1"/>
  <c r="G3" i="4" s="1"/>
  <c r="H3" i="4" s="1"/>
  <c r="E5" i="2"/>
  <c r="F5" i="2" s="1"/>
  <c r="G5" i="2" s="1"/>
  <c r="I5" i="2" s="1"/>
  <c r="E4" i="2"/>
  <c r="F4" i="2" s="1"/>
  <c r="G4" i="2" s="1"/>
  <c r="I3" i="4" l="1"/>
  <c r="J3" i="4"/>
  <c r="D4" i="4"/>
  <c r="I4" i="2"/>
  <c r="H4" i="2"/>
  <c r="H5" i="2"/>
  <c r="E6" i="2"/>
  <c r="F6" i="2" s="1"/>
  <c r="G6" i="2" s="1"/>
  <c r="I6" i="2" s="1"/>
  <c r="K3" i="4" l="1"/>
  <c r="E4" i="4"/>
  <c r="F4" i="4" s="1"/>
  <c r="G4" i="4" s="1"/>
  <c r="H4" i="4" s="1"/>
  <c r="J4" i="2"/>
  <c r="J6" i="2"/>
  <c r="J5" i="2"/>
  <c r="H6" i="2"/>
  <c r="E7" i="2"/>
  <c r="F7" i="2" s="1"/>
  <c r="G7" i="2" s="1"/>
  <c r="I7" i="2" s="1"/>
  <c r="J4" i="4" l="1"/>
  <c r="I4" i="4"/>
  <c r="D5" i="4"/>
  <c r="H7" i="2"/>
  <c r="J7" i="2"/>
  <c r="E8" i="2"/>
  <c r="F8" i="2" s="1"/>
  <c r="G8" i="2" s="1"/>
  <c r="K4" i="4" l="1"/>
  <c r="E5" i="4"/>
  <c r="F5" i="4" s="1"/>
  <c r="G5" i="4" s="1"/>
  <c r="H5" i="4" s="1"/>
  <c r="H8" i="2"/>
  <c r="I8" i="2"/>
  <c r="E9" i="2"/>
  <c r="F9" i="2" s="1"/>
  <c r="G9" i="2" s="1"/>
  <c r="J5" i="4" l="1"/>
  <c r="I5" i="4"/>
  <c r="D6" i="4"/>
  <c r="J8" i="2"/>
  <c r="I9" i="2"/>
  <c r="H9" i="2"/>
  <c r="E10" i="2"/>
  <c r="F10" i="2" s="1"/>
  <c r="G10" i="2" s="1"/>
  <c r="E6" i="4" l="1"/>
  <c r="D7" i="4" s="1"/>
  <c r="K5" i="4"/>
  <c r="J9" i="2"/>
  <c r="I10" i="2"/>
  <c r="J10" i="2" s="1"/>
  <c r="H10" i="2"/>
  <c r="E11" i="2"/>
  <c r="F11" i="2" s="1"/>
  <c r="G11" i="2" s="1"/>
  <c r="I11" i="2" s="1"/>
  <c r="F6" i="4" l="1"/>
  <c r="G6" i="4" s="1"/>
  <c r="H6" i="4" s="1"/>
  <c r="I6" i="4" s="1"/>
  <c r="E7" i="4"/>
  <c r="F7" i="4" s="1"/>
  <c r="G7" i="4" s="1"/>
  <c r="H7" i="4" s="1"/>
  <c r="J11" i="2"/>
  <c r="H11" i="2"/>
  <c r="E12" i="2"/>
  <c r="F12" i="2" s="1"/>
  <c r="G12" i="2" s="1"/>
  <c r="I12" i="2" s="1"/>
  <c r="J12" i="2" s="1"/>
  <c r="J6" i="4" l="1"/>
  <c r="J7" i="4"/>
  <c r="I7" i="4"/>
  <c r="D8" i="4"/>
  <c r="H12" i="2"/>
  <c r="E13" i="2"/>
  <c r="F13" i="2" s="1"/>
  <c r="G13" i="2" s="1"/>
  <c r="K7" i="4" l="1"/>
  <c r="K6" i="4"/>
  <c r="E8" i="4"/>
  <c r="F8" i="4" s="1"/>
  <c r="G8" i="4" s="1"/>
  <c r="H8" i="4" s="1"/>
  <c r="I13" i="2"/>
  <c r="J13" i="2" s="1"/>
  <c r="H13" i="2"/>
  <c r="E14" i="2"/>
  <c r="F14" i="2" s="1"/>
  <c r="G14" i="2" s="1"/>
  <c r="J8" i="4" l="1"/>
  <c r="I8" i="4"/>
  <c r="D9" i="4"/>
  <c r="I14" i="2"/>
  <c r="J14" i="2" s="1"/>
  <c r="H14" i="2"/>
  <c r="E15" i="2"/>
  <c r="F15" i="2" s="1"/>
  <c r="G15" i="2" s="1"/>
  <c r="K8" i="4" l="1"/>
  <c r="E9" i="4"/>
  <c r="F9" i="4" s="1"/>
  <c r="G9" i="4" s="1"/>
  <c r="H9" i="4" s="1"/>
  <c r="I15" i="2"/>
  <c r="J15" i="2" s="1"/>
  <c r="H15" i="2"/>
  <c r="E16" i="2"/>
  <c r="F16" i="2" s="1"/>
  <c r="G16" i="2" s="1"/>
  <c r="J9" i="4" l="1"/>
  <c r="K9" i="4" s="1"/>
  <c r="I9" i="4"/>
  <c r="D10" i="4"/>
  <c r="I16" i="2"/>
  <c r="J16" i="2" s="1"/>
  <c r="H16" i="2"/>
  <c r="E17" i="2"/>
  <c r="F17" i="2" s="1"/>
  <c r="G17" i="2" s="1"/>
  <c r="E10" i="4" l="1"/>
  <c r="D11" i="4" s="1"/>
  <c r="I17" i="2"/>
  <c r="J17" i="2" s="1"/>
  <c r="H17" i="2"/>
  <c r="E18" i="2"/>
  <c r="F18" i="2" s="1"/>
  <c r="G18" i="2" s="1"/>
  <c r="F10" i="4" l="1"/>
  <c r="G10" i="4" s="1"/>
  <c r="H10" i="4" s="1"/>
  <c r="J10" i="4" s="1"/>
  <c r="K10" i="4" s="1"/>
  <c r="E11" i="4"/>
  <c r="D12" i="4" s="1"/>
  <c r="I18" i="2"/>
  <c r="J18" i="2" s="1"/>
  <c r="H18" i="2"/>
  <c r="E19" i="2"/>
  <c r="F19" i="2" s="1"/>
  <c r="G19" i="2" s="1"/>
  <c r="I10" i="4" l="1"/>
  <c r="F11" i="4"/>
  <c r="G11" i="4" s="1"/>
  <c r="H11" i="4" s="1"/>
  <c r="J11" i="4" s="1"/>
  <c r="K11" i="4" s="1"/>
  <c r="E12" i="4"/>
  <c r="D13" i="4" s="1"/>
  <c r="I19" i="2"/>
  <c r="J19" i="2" s="1"/>
  <c r="H19" i="2"/>
  <c r="E20" i="2"/>
  <c r="F20" i="2" s="1"/>
  <c r="G20" i="2" s="1"/>
  <c r="I11" i="4" l="1"/>
  <c r="F12" i="4"/>
  <c r="G12" i="4" s="1"/>
  <c r="H12" i="4" s="1"/>
  <c r="J12" i="4" s="1"/>
  <c r="K12" i="4" s="1"/>
  <c r="E13" i="4"/>
  <c r="F13" i="4" s="1"/>
  <c r="G13" i="4" s="1"/>
  <c r="H13" i="4" s="1"/>
  <c r="I20" i="2"/>
  <c r="J20" i="2" s="1"/>
  <c r="H20" i="2"/>
  <c r="E21" i="2"/>
  <c r="F21" i="2" s="1"/>
  <c r="G21" i="2" s="1"/>
  <c r="I12" i="4" l="1"/>
  <c r="J13" i="4"/>
  <c r="K13" i="4" s="1"/>
  <c r="I13" i="4"/>
  <c r="D14" i="4"/>
  <c r="I21" i="2"/>
  <c r="J21" i="2" s="1"/>
  <c r="H21" i="2"/>
  <c r="E22" i="2"/>
  <c r="F22" i="2" s="1"/>
  <c r="G22" i="2" s="1"/>
  <c r="E14" i="4" l="1"/>
  <c r="D15" i="4" s="1"/>
  <c r="I22" i="2"/>
  <c r="J22" i="2" s="1"/>
  <c r="H22" i="2"/>
  <c r="F3" i="5"/>
  <c r="E4" i="5" l="1"/>
  <c r="G8" i="5" s="1"/>
  <c r="H3" i="5"/>
  <c r="I3" i="5" s="1"/>
  <c r="J3" i="5" s="1"/>
  <c r="F14" i="4"/>
  <c r="G14" i="4" s="1"/>
  <c r="H14" i="4" s="1"/>
  <c r="J14" i="4" s="1"/>
  <c r="K14" i="4" s="1"/>
  <c r="E15" i="4"/>
  <c r="D16" i="4" s="1"/>
  <c r="F4" i="5" l="1"/>
  <c r="E5" i="5" s="1"/>
  <c r="K3" i="5"/>
  <c r="L3" i="5"/>
  <c r="I14" i="4"/>
  <c r="E16" i="4"/>
  <c r="D17" i="4" s="1"/>
  <c r="F15" i="4"/>
  <c r="G15" i="4" s="1"/>
  <c r="H15" i="4" s="1"/>
  <c r="H4" i="5" l="1"/>
  <c r="I4" i="5" s="1"/>
  <c r="J4" i="5" s="1"/>
  <c r="F5" i="5"/>
  <c r="E6" i="5" s="1"/>
  <c r="G10" i="5" s="1"/>
  <c r="G9" i="5"/>
  <c r="M3" i="5"/>
  <c r="F16" i="4"/>
  <c r="G16" i="4" s="1"/>
  <c r="H16" i="4" s="1"/>
  <c r="J16" i="4" s="1"/>
  <c r="J15" i="4"/>
  <c r="K15" i="4" s="1"/>
  <c r="I15" i="4"/>
  <c r="E17" i="4"/>
  <c r="D18" i="4" s="1"/>
  <c r="L4" i="5" l="1"/>
  <c r="K4" i="5"/>
  <c r="H5" i="5"/>
  <c r="I5" i="5" s="1"/>
  <c r="J5" i="5" s="1"/>
  <c r="L5" i="5" s="1"/>
  <c r="I16" i="4"/>
  <c r="K16" i="4"/>
  <c r="E18" i="4"/>
  <c r="D19" i="4" s="1"/>
  <c r="F17" i="4"/>
  <c r="G17" i="4" s="1"/>
  <c r="H17" i="4" s="1"/>
  <c r="F6" i="5"/>
  <c r="E7" i="5" s="1"/>
  <c r="M4" i="5" l="1"/>
  <c r="M5" i="5"/>
  <c r="K5" i="5"/>
  <c r="H6" i="5"/>
  <c r="I6" i="5" s="1"/>
  <c r="J6" i="5" s="1"/>
  <c r="L6" i="5" s="1"/>
  <c r="E19" i="4"/>
  <c r="D20" i="4" s="1"/>
  <c r="J17" i="4"/>
  <c r="K17" i="4" s="1"/>
  <c r="I17" i="4"/>
  <c r="F18" i="4"/>
  <c r="G18" i="4" s="1"/>
  <c r="H18" i="4" s="1"/>
  <c r="F7" i="5"/>
  <c r="E8" i="5" s="1"/>
  <c r="G11" i="5"/>
  <c r="K6" i="5" l="1"/>
  <c r="M6" i="5"/>
  <c r="H7" i="5"/>
  <c r="I7" i="5" s="1"/>
  <c r="J7" i="5" s="1"/>
  <c r="L7" i="5" s="1"/>
  <c r="F19" i="4"/>
  <c r="G19" i="4" s="1"/>
  <c r="H19" i="4" s="1"/>
  <c r="J19" i="4" s="1"/>
  <c r="J18" i="4"/>
  <c r="K18" i="4" s="1"/>
  <c r="I18" i="4"/>
  <c r="E20" i="4"/>
  <c r="D21" i="4" s="1"/>
  <c r="G12" i="5"/>
  <c r="F8" i="5"/>
  <c r="E9" i="5" s="1"/>
  <c r="H8" i="5" l="1"/>
  <c r="I8" i="5" s="1"/>
  <c r="J8" i="5" s="1"/>
  <c r="L8" i="5" s="1"/>
  <c r="M8" i="5" s="1"/>
  <c r="K7" i="5"/>
  <c r="M7" i="5"/>
  <c r="I19" i="4"/>
  <c r="K19" i="4"/>
  <c r="E21" i="4"/>
  <c r="D22" i="4" s="1"/>
  <c r="F20" i="4"/>
  <c r="G20" i="4" s="1"/>
  <c r="H20" i="4" s="1"/>
  <c r="G13" i="5"/>
  <c r="F9" i="5"/>
  <c r="E10" i="5" s="1"/>
  <c r="K8" i="5" l="1"/>
  <c r="H9" i="5"/>
  <c r="I9" i="5" s="1"/>
  <c r="J9" i="5" s="1"/>
  <c r="F21" i="4"/>
  <c r="G21" i="4" s="1"/>
  <c r="H21" i="4" s="1"/>
  <c r="I21" i="4" s="1"/>
  <c r="J20" i="4"/>
  <c r="K20" i="4" s="1"/>
  <c r="I20" i="4"/>
  <c r="E22" i="4"/>
  <c r="F22" i="4" s="1"/>
  <c r="G22" i="4" s="1"/>
  <c r="H22" i="4" s="1"/>
  <c r="F10" i="5"/>
  <c r="E11" i="5" s="1"/>
  <c r="G14" i="5"/>
  <c r="L9" i="5" l="1"/>
  <c r="K9" i="5"/>
  <c r="H10" i="5"/>
  <c r="I10" i="5" s="1"/>
  <c r="J10" i="5" s="1"/>
  <c r="J21" i="4"/>
  <c r="K21" i="4" s="1"/>
  <c r="J22" i="4"/>
  <c r="I22" i="4"/>
  <c r="F11" i="5"/>
  <c r="E12" i="5" s="1"/>
  <c r="G15" i="5"/>
  <c r="L10" i="5" l="1"/>
  <c r="M10" i="5" s="1"/>
  <c r="K10" i="5"/>
  <c r="M9" i="5"/>
  <c r="H11" i="5"/>
  <c r="I11" i="5" s="1"/>
  <c r="J11" i="5" s="1"/>
  <c r="K22" i="4"/>
  <c r="G16" i="5"/>
  <c r="F12" i="5"/>
  <c r="E13" i="5" s="1"/>
  <c r="L11" i="5" l="1"/>
  <c r="M11" i="5" s="1"/>
  <c r="K11" i="5"/>
  <c r="H12" i="5"/>
  <c r="I12" i="5" s="1"/>
  <c r="J12" i="5" s="1"/>
  <c r="G17" i="5"/>
  <c r="F13" i="5"/>
  <c r="E14" i="5" s="1"/>
  <c r="L12" i="5" l="1"/>
  <c r="M12" i="5" s="1"/>
  <c r="K12" i="5"/>
  <c r="H13" i="5"/>
  <c r="I13" i="5" s="1"/>
  <c r="J13" i="5" s="1"/>
  <c r="G18" i="5"/>
  <c r="F14" i="5"/>
  <c r="E15" i="5" s="1"/>
  <c r="L13" i="5" l="1"/>
  <c r="M13" i="5" s="1"/>
  <c r="K13" i="5"/>
  <c r="H14" i="5"/>
  <c r="I14" i="5" s="1"/>
  <c r="J14" i="5" s="1"/>
  <c r="G19" i="5"/>
  <c r="F15" i="5"/>
  <c r="E16" i="5" s="1"/>
  <c r="L14" i="5" l="1"/>
  <c r="M14" i="5" s="1"/>
  <c r="K14" i="5"/>
  <c r="H15" i="5"/>
  <c r="I15" i="5" s="1"/>
  <c r="J15" i="5" s="1"/>
  <c r="F16" i="5"/>
  <c r="E17" i="5" s="1"/>
  <c r="G20" i="5"/>
  <c r="L15" i="5" l="1"/>
  <c r="M15" i="5" s="1"/>
  <c r="K15" i="5"/>
  <c r="H16" i="5"/>
  <c r="I16" i="5" s="1"/>
  <c r="J16" i="5" s="1"/>
  <c r="G21" i="5"/>
  <c r="F17" i="5"/>
  <c r="E18" i="5" s="1"/>
  <c r="L16" i="5" l="1"/>
  <c r="M16" i="5" s="1"/>
  <c r="K16" i="5"/>
  <c r="H17" i="5"/>
  <c r="I17" i="5" s="1"/>
  <c r="J17" i="5" s="1"/>
  <c r="F18" i="5"/>
  <c r="E19" i="5" s="1"/>
  <c r="G22" i="5"/>
  <c r="L17" i="5" l="1"/>
  <c r="M17" i="5" s="1"/>
  <c r="K17" i="5"/>
  <c r="H18" i="5"/>
  <c r="I18" i="5" s="1"/>
  <c r="J18" i="5" s="1"/>
  <c r="F19" i="5"/>
  <c r="H19" i="5" s="1"/>
  <c r="I19" i="5" s="1"/>
  <c r="J19" i="5" s="1"/>
  <c r="L19" i="5" l="1"/>
  <c r="K19" i="5"/>
  <c r="L18" i="5"/>
  <c r="M18" i="5" s="1"/>
  <c r="K18" i="5"/>
  <c r="E20" i="5"/>
  <c r="M19" i="5" l="1"/>
  <c r="F20" i="5"/>
  <c r="E21" i="5" s="1"/>
  <c r="H20" i="5" l="1"/>
  <c r="I20" i="5" s="1"/>
  <c r="J20" i="5" s="1"/>
  <c r="F21" i="5"/>
  <c r="H21" i="5" s="1"/>
  <c r="I21" i="5" s="1"/>
  <c r="J21" i="5" s="1"/>
  <c r="L21" i="5" l="1"/>
  <c r="K21" i="5"/>
  <c r="L20" i="5"/>
  <c r="M20" i="5" s="1"/>
  <c r="K20" i="5"/>
  <c r="E22" i="5"/>
  <c r="F22" i="5" l="1"/>
  <c r="H22" i="5" s="1"/>
  <c r="I22" i="5" s="1"/>
  <c r="J22" i="5" s="1"/>
  <c r="M21" i="5"/>
  <c r="L22" i="5" l="1"/>
  <c r="M22" i="5" s="1"/>
  <c r="K22" i="5"/>
</calcChain>
</file>

<file path=xl/sharedStrings.xml><?xml version="1.0" encoding="utf-8"?>
<sst xmlns="http://schemas.openxmlformats.org/spreadsheetml/2006/main" count="143" uniqueCount="46">
  <si>
    <t>Period</t>
  </si>
  <si>
    <t>Year</t>
  </si>
  <si>
    <t>Level</t>
  </si>
  <si>
    <t>Forecast</t>
  </si>
  <si>
    <t>Error</t>
  </si>
  <si>
    <t>Sales</t>
  </si>
  <si>
    <t>ALPHA</t>
  </si>
  <si>
    <t>Deseasonalized demand</t>
  </si>
  <si>
    <t>Deseason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</si>
  <si>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</si>
  <si>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</si>
  <si>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</si>
  <si>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</si>
  <si>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</si>
  <si>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</si>
  <si>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</si>
  <si>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</si>
  <si>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</si>
  <si>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</si>
  <si>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</si>
  <si>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</si>
  <si>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</si>
  <si>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</si>
  <si>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</si>
  <si>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</si>
  <si>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</si>
  <si>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</si>
  <si>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</si>
  <si>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</si>
  <si>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</si>
  <si>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</si>
  <si>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</si>
  <si>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</si>
  <si>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</si>
  <si>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LEVEL</t>
  </si>
  <si>
    <t>TREND</t>
  </si>
  <si>
    <t>Seasonality factor</t>
  </si>
  <si>
    <t>avg</t>
  </si>
  <si>
    <t>Trend</t>
  </si>
  <si>
    <t>BETA</t>
  </si>
  <si>
    <t>GAMMA</t>
  </si>
  <si>
    <t>Seasonality</t>
  </si>
  <si>
    <t>AD</t>
  </si>
  <si>
    <t>MAD</t>
  </si>
  <si>
    <t>%Error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</si>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</sst>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2" fillId="0" borderId="3" xfId="0" applyFont="1" applyBorder="1"/>
    <xf numFmtId="0" fontId="0" fillId="2" borderId="0" xfId="0" applyFill="1"/>
    <xf numFmtId="0" fontId="2" fillId="0" borderId="5" xfId="0" applyFont="1" applyBorder="1"/>
    <xf numFmtId="0" fontId="2" fillId="0" borderId="4" xfId="0" applyFont="1" applyBorder="1"/>
    <xf numFmtId="0" fontId="0" fillId="0" borderId="0" xfId="0" applyAlignment="1"/>
    <xf numFmtId="0" fontId="2" fillId="0" borderId="3" xfId="0" applyFont="1" applyBorder="1" applyAlignment="1">
      <alignment wrapText="1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O11" sqref="O11"/>
    </sheetView>
  </sheetViews>
  <sheetFormatPr defaultRowHeight="14.4" x14ac:dyDescent="0.3"/>
  <sheetData>
    <row r="1" spans="1:10" ht="21" customHeight="1" x14ac:dyDescent="0.3">
      <c r="A1" s="8" t="s">
        <v>0</v>
      </c>
      <c r="B1" s="6" t="s">
        <v>1</v>
      </c>
      <c r="C1" s="6" t="s">
        <v>5</v>
      </c>
      <c r="D1" s="6" t="s">
        <v>2</v>
      </c>
      <c r="E1" s="6" t="s">
        <v>3</v>
      </c>
      <c r="F1" s="6" t="s">
        <v>4</v>
      </c>
      <c r="G1" s="6" t="s">
        <v>42</v>
      </c>
      <c r="H1" s="6" t="s">
        <v>43</v>
      </c>
      <c r="I1" s="6" t="s">
        <v>44</v>
      </c>
      <c r="J1" s="6" t="s">
        <v>45</v>
      </c>
    </row>
    <row r="2" spans="1:10" x14ac:dyDescent="0.3">
      <c r="A2" s="9">
        <v>1</v>
      </c>
      <c r="B2">
        <v>2015</v>
      </c>
      <c r="C2">
        <v>38632.333333333336</v>
      </c>
    </row>
    <row r="3" spans="1:10" x14ac:dyDescent="0.3">
      <c r="A3" s="9">
        <v>2</v>
      </c>
      <c r="B3">
        <v>2015</v>
      </c>
      <c r="C3">
        <v>34933.666666666664</v>
      </c>
    </row>
    <row r="4" spans="1:10" x14ac:dyDescent="0.3">
      <c r="A4" s="9">
        <v>3</v>
      </c>
      <c r="B4">
        <v>2015</v>
      </c>
      <c r="C4">
        <v>36995.666666666664</v>
      </c>
    </row>
    <row r="5" spans="1:10" x14ac:dyDescent="0.3">
      <c r="A5" s="9">
        <v>4</v>
      </c>
      <c r="B5">
        <v>2015</v>
      </c>
      <c r="C5">
        <v>36960</v>
      </c>
      <c r="D5">
        <f>AVERAGE(C2:C5)</f>
        <v>36880.416666666664</v>
      </c>
    </row>
    <row r="6" spans="1:10" x14ac:dyDescent="0.3">
      <c r="A6" s="9">
        <v>5</v>
      </c>
      <c r="B6">
        <v>2016</v>
      </c>
      <c r="C6">
        <v>35442</v>
      </c>
      <c r="D6">
        <f t="shared" ref="D6:D21" si="0">AVERAGE(C3:C6)</f>
        <v>36082.833333333328</v>
      </c>
      <c r="E6">
        <f>D5</f>
        <v>36880.416666666664</v>
      </c>
      <c r="F6">
        <f>E6-C6</f>
        <v>1438.4166666666642</v>
      </c>
      <c r="G6">
        <f>ABS(F6)</f>
        <v>1438.4166666666642</v>
      </c>
      <c r="H6">
        <f>SUM($G$6:G6)/A2</f>
        <v>1438.4166666666642</v>
      </c>
      <c r="I6">
        <f>(G6/C6)*100</f>
        <v>4.0585087372796798</v>
      </c>
      <c r="J6">
        <f>SUM($I$6:I6)/A2</f>
        <v>4.0585087372796798</v>
      </c>
    </row>
    <row r="7" spans="1:10" x14ac:dyDescent="0.3">
      <c r="A7" s="9">
        <v>6</v>
      </c>
      <c r="B7">
        <v>2016</v>
      </c>
      <c r="C7">
        <v>30907.666666666668</v>
      </c>
      <c r="D7">
        <f t="shared" si="0"/>
        <v>35076.333333333328</v>
      </c>
      <c r="E7">
        <f t="shared" ref="E7:E21" si="1">D6</f>
        <v>36082.833333333328</v>
      </c>
      <c r="F7">
        <f t="shared" ref="F7:F21" si="2">E7-C7</f>
        <v>5175.1666666666606</v>
      </c>
      <c r="G7">
        <f t="shared" ref="G7:G21" si="3">ABS(F7)</f>
        <v>5175.1666666666606</v>
      </c>
      <c r="H7">
        <f>SUM($G$6:G7)/A3</f>
        <v>3306.7916666666624</v>
      </c>
      <c r="I7">
        <f t="shared" ref="I7:I21" si="4">(G7/C7)*100</f>
        <v>16.743957809820628</v>
      </c>
      <c r="J7">
        <f>SUM($I$6:I7)/A3</f>
        <v>10.401233273550154</v>
      </c>
    </row>
    <row r="8" spans="1:10" x14ac:dyDescent="0.3">
      <c r="A8" s="9">
        <v>7</v>
      </c>
      <c r="B8">
        <v>2016</v>
      </c>
      <c r="C8">
        <v>35270.5</v>
      </c>
      <c r="D8">
        <f t="shared" si="0"/>
        <v>34645.041666666672</v>
      </c>
      <c r="E8">
        <f t="shared" si="1"/>
        <v>35076.333333333328</v>
      </c>
      <c r="F8">
        <f t="shared" si="2"/>
        <v>-194.16666666667152</v>
      </c>
      <c r="G8">
        <f t="shared" si="3"/>
        <v>194.16666666667152</v>
      </c>
      <c r="H8">
        <f>SUM($G$6:G8)/A4</f>
        <v>2269.2499999999986</v>
      </c>
      <c r="I8">
        <f t="shared" si="4"/>
        <v>0.55050727000374677</v>
      </c>
      <c r="J8">
        <f>SUM($I$6:I8)/A4</f>
        <v>7.117657939034685</v>
      </c>
    </row>
    <row r="9" spans="1:10" x14ac:dyDescent="0.3">
      <c r="A9" s="9">
        <v>8</v>
      </c>
      <c r="B9">
        <v>2016</v>
      </c>
      <c r="C9">
        <v>34780.666666666664</v>
      </c>
      <c r="D9">
        <f t="shared" si="0"/>
        <v>34100.208333333336</v>
      </c>
      <c r="E9">
        <f t="shared" si="1"/>
        <v>34645.041666666672</v>
      </c>
      <c r="F9">
        <f t="shared" si="2"/>
        <v>-135.62499999999272</v>
      </c>
      <c r="G9">
        <f t="shared" si="3"/>
        <v>135.62499999999272</v>
      </c>
      <c r="H9">
        <f>SUM($G$6:G9)/A5</f>
        <v>1735.8437499999973</v>
      </c>
      <c r="I9">
        <f t="shared" si="4"/>
        <v>0.38994364685359512</v>
      </c>
      <c r="J9">
        <f>SUM($I$6:I9)/A5</f>
        <v>5.4357293659894124</v>
      </c>
    </row>
    <row r="10" spans="1:10" x14ac:dyDescent="0.3">
      <c r="A10" s="9">
        <v>9</v>
      </c>
      <c r="B10">
        <v>2017</v>
      </c>
      <c r="C10">
        <v>35503.5</v>
      </c>
      <c r="D10">
        <f t="shared" si="0"/>
        <v>34115.583333333336</v>
      </c>
      <c r="E10">
        <f t="shared" si="1"/>
        <v>34100.208333333336</v>
      </c>
      <c r="F10">
        <f t="shared" si="2"/>
        <v>-1403.2916666666642</v>
      </c>
      <c r="G10">
        <f t="shared" si="3"/>
        <v>1403.2916666666642</v>
      </c>
      <c r="H10">
        <f>SUM($G$6:G10)/A6</f>
        <v>1669.3333333333308</v>
      </c>
      <c r="I10">
        <f t="shared" si="4"/>
        <v>3.9525445848061862</v>
      </c>
      <c r="J10">
        <f>SUM($I$6:I10)/A6</f>
        <v>5.1390924097527675</v>
      </c>
    </row>
    <row r="11" spans="1:10" x14ac:dyDescent="0.3">
      <c r="A11" s="9">
        <v>10</v>
      </c>
      <c r="B11">
        <v>2017</v>
      </c>
      <c r="C11">
        <v>34503.333333333336</v>
      </c>
      <c r="D11">
        <f t="shared" si="0"/>
        <v>35014.5</v>
      </c>
      <c r="E11">
        <f t="shared" si="1"/>
        <v>34115.583333333336</v>
      </c>
      <c r="F11">
        <f t="shared" si="2"/>
        <v>-387.75</v>
      </c>
      <c r="G11">
        <f t="shared" si="3"/>
        <v>387.75</v>
      </c>
      <c r="H11">
        <f>SUM($G$6:G11)/A7</f>
        <v>1455.7361111111088</v>
      </c>
      <c r="I11">
        <f t="shared" si="4"/>
        <v>1.1238044633368756</v>
      </c>
      <c r="J11">
        <f>SUM($I$6:I11)/A7</f>
        <v>4.4698777520167852</v>
      </c>
    </row>
    <row r="12" spans="1:10" x14ac:dyDescent="0.3">
      <c r="A12" s="9">
        <v>11</v>
      </c>
      <c r="B12">
        <v>2017</v>
      </c>
      <c r="C12">
        <v>38739</v>
      </c>
      <c r="D12">
        <f t="shared" si="0"/>
        <v>35881.625</v>
      </c>
      <c r="E12">
        <f t="shared" si="1"/>
        <v>35014.5</v>
      </c>
      <c r="F12">
        <f t="shared" si="2"/>
        <v>-3724.5</v>
      </c>
      <c r="G12">
        <f t="shared" si="3"/>
        <v>3724.5</v>
      </c>
      <c r="H12">
        <f>SUM($G$6:G12)/A8</f>
        <v>1779.8452380952363</v>
      </c>
      <c r="I12">
        <f t="shared" si="4"/>
        <v>9.6143421358321071</v>
      </c>
      <c r="J12">
        <f>SUM($I$6:I12)/A8</f>
        <v>5.2048012354189739</v>
      </c>
    </row>
    <row r="13" spans="1:10" x14ac:dyDescent="0.3">
      <c r="A13" s="9">
        <v>12</v>
      </c>
      <c r="B13">
        <v>2017</v>
      </c>
      <c r="C13">
        <v>34280</v>
      </c>
      <c r="D13">
        <f t="shared" si="0"/>
        <v>35756.458333333336</v>
      </c>
      <c r="E13">
        <f t="shared" si="1"/>
        <v>35881.625</v>
      </c>
      <c r="F13">
        <f t="shared" si="2"/>
        <v>1601.625</v>
      </c>
      <c r="G13">
        <f t="shared" si="3"/>
        <v>1601.625</v>
      </c>
      <c r="H13">
        <f>SUM($G$6:G13)/A9</f>
        <v>1757.5677083333317</v>
      </c>
      <c r="I13">
        <f t="shared" si="4"/>
        <v>4.6721849474912487</v>
      </c>
      <c r="J13">
        <f>SUM($I$6:I13)/A9</f>
        <v>5.1382241994280076</v>
      </c>
    </row>
    <row r="14" spans="1:10" x14ac:dyDescent="0.3">
      <c r="A14" s="9">
        <v>13</v>
      </c>
      <c r="B14">
        <v>2018</v>
      </c>
      <c r="C14">
        <v>34872</v>
      </c>
      <c r="D14">
        <f t="shared" si="0"/>
        <v>35598.583333333336</v>
      </c>
      <c r="E14">
        <f t="shared" si="1"/>
        <v>35756.458333333336</v>
      </c>
      <c r="F14">
        <f t="shared" si="2"/>
        <v>884.45833333333576</v>
      </c>
      <c r="G14">
        <f t="shared" si="3"/>
        <v>884.45833333333576</v>
      </c>
      <c r="H14">
        <f>SUM($G$6:G14)/A10</f>
        <v>1660.5555555555543</v>
      </c>
      <c r="I14">
        <f t="shared" si="4"/>
        <v>2.536299418826955</v>
      </c>
      <c r="J14">
        <f>SUM($I$6:I14)/A10</f>
        <v>4.8491214460278904</v>
      </c>
    </row>
    <row r="15" spans="1:10" x14ac:dyDescent="0.3">
      <c r="A15" s="9">
        <v>14</v>
      </c>
      <c r="B15">
        <v>2018</v>
      </c>
      <c r="C15">
        <v>34679.666666666664</v>
      </c>
      <c r="D15">
        <f t="shared" si="0"/>
        <v>35642.666666666664</v>
      </c>
      <c r="E15">
        <f t="shared" si="1"/>
        <v>35598.583333333336</v>
      </c>
      <c r="F15">
        <f t="shared" si="2"/>
        <v>918.91666666667152</v>
      </c>
      <c r="G15">
        <f t="shared" si="3"/>
        <v>918.91666666667152</v>
      </c>
      <c r="H15">
        <f>SUM($G$6:G15)/A11</f>
        <v>1586.391666666666</v>
      </c>
      <c r="I15">
        <f t="shared" si="4"/>
        <v>2.6497275060314065</v>
      </c>
      <c r="J15">
        <f>SUM($I$6:I15)/A11</f>
        <v>4.6291820520282423</v>
      </c>
    </row>
    <row r="16" spans="1:10" x14ac:dyDescent="0.3">
      <c r="A16" s="9">
        <v>15</v>
      </c>
      <c r="B16">
        <v>2018</v>
      </c>
      <c r="C16">
        <v>36192</v>
      </c>
      <c r="D16">
        <f t="shared" si="0"/>
        <v>35005.916666666664</v>
      </c>
      <c r="E16">
        <f t="shared" si="1"/>
        <v>35642.666666666664</v>
      </c>
      <c r="F16">
        <f t="shared" si="2"/>
        <v>-549.33333333333576</v>
      </c>
      <c r="G16">
        <f t="shared" si="3"/>
        <v>549.33333333333576</v>
      </c>
      <c r="H16">
        <f>SUM($G$6:G16)/A12</f>
        <v>1492.113636363636</v>
      </c>
      <c r="I16">
        <f t="shared" si="4"/>
        <v>1.5178308281756625</v>
      </c>
      <c r="J16">
        <f>SUM($I$6:I16)/A12</f>
        <v>4.3463319407689163</v>
      </c>
    </row>
    <row r="17" spans="1:10" x14ac:dyDescent="0.3">
      <c r="A17" s="9">
        <v>16</v>
      </c>
      <c r="B17">
        <v>2018</v>
      </c>
      <c r="C17">
        <v>30150</v>
      </c>
      <c r="D17">
        <f t="shared" si="0"/>
        <v>33973.416666666664</v>
      </c>
      <c r="E17">
        <f t="shared" si="1"/>
        <v>35005.916666666664</v>
      </c>
      <c r="F17">
        <f t="shared" si="2"/>
        <v>4855.9166666666642</v>
      </c>
      <c r="G17">
        <f t="shared" si="3"/>
        <v>4855.9166666666642</v>
      </c>
      <c r="H17">
        <f>SUM($G$6:G17)/A13</f>
        <v>1772.430555555555</v>
      </c>
      <c r="I17">
        <f t="shared" si="4"/>
        <v>16.105859590934209</v>
      </c>
      <c r="J17">
        <f>SUM($I$6:I17)/A13</f>
        <v>5.3262925782826906</v>
      </c>
    </row>
    <row r="18" spans="1:10" x14ac:dyDescent="0.3">
      <c r="A18" s="9">
        <v>17</v>
      </c>
      <c r="B18">
        <v>2019</v>
      </c>
      <c r="C18">
        <v>24995</v>
      </c>
      <c r="D18">
        <f t="shared" si="0"/>
        <v>31504.166666666664</v>
      </c>
      <c r="E18">
        <f t="shared" si="1"/>
        <v>33973.416666666664</v>
      </c>
      <c r="F18">
        <f t="shared" si="2"/>
        <v>8978.4166666666642</v>
      </c>
      <c r="G18">
        <f t="shared" si="3"/>
        <v>8978.4166666666642</v>
      </c>
      <c r="H18">
        <f>SUM($G$6:G18)/A14</f>
        <v>2326.7371794871788</v>
      </c>
      <c r="I18">
        <f t="shared" si="4"/>
        <v>35.92085083683402</v>
      </c>
      <c r="J18">
        <f>SUM($I$6:I18)/A14</f>
        <v>7.6797201366327936</v>
      </c>
    </row>
    <row r="19" spans="1:10" x14ac:dyDescent="0.3">
      <c r="A19" s="9">
        <v>18</v>
      </c>
      <c r="B19">
        <v>2019</v>
      </c>
      <c r="C19">
        <v>19297.666666666668</v>
      </c>
      <c r="D19">
        <f t="shared" si="0"/>
        <v>27658.666666666668</v>
      </c>
      <c r="E19">
        <f t="shared" si="1"/>
        <v>31504.166666666664</v>
      </c>
      <c r="F19">
        <f t="shared" si="2"/>
        <v>12206.499999999996</v>
      </c>
      <c r="G19">
        <f t="shared" si="3"/>
        <v>12206.499999999996</v>
      </c>
      <c r="H19">
        <f>SUM($G$6:G19)/A15</f>
        <v>3032.4345238095229</v>
      </c>
      <c r="I19">
        <f t="shared" si="4"/>
        <v>63.253761249201091</v>
      </c>
      <c r="J19">
        <f>SUM($I$6:I19)/A15</f>
        <v>11.649294501816243</v>
      </c>
    </row>
    <row r="20" spans="1:10" x14ac:dyDescent="0.3">
      <c r="A20" s="9">
        <v>19</v>
      </c>
      <c r="B20">
        <v>2019</v>
      </c>
      <c r="C20">
        <v>13928.333333333334</v>
      </c>
      <c r="D20">
        <f t="shared" si="0"/>
        <v>22092.75</v>
      </c>
      <c r="E20">
        <f t="shared" si="1"/>
        <v>27658.666666666668</v>
      </c>
      <c r="F20">
        <f t="shared" si="2"/>
        <v>13730.333333333334</v>
      </c>
      <c r="G20">
        <f t="shared" si="3"/>
        <v>13730.333333333334</v>
      </c>
      <c r="H20">
        <f>SUM($G$6:G20)/A16</f>
        <v>3745.6277777777773</v>
      </c>
      <c r="I20">
        <f t="shared" si="4"/>
        <v>98.578437238243382</v>
      </c>
      <c r="J20">
        <f>SUM($I$6:I20)/A16</f>
        <v>17.444570684244717</v>
      </c>
    </row>
    <row r="21" spans="1:10" x14ac:dyDescent="0.3">
      <c r="A21" s="9">
        <v>20</v>
      </c>
      <c r="B21">
        <v>2019</v>
      </c>
      <c r="C21">
        <v>26242</v>
      </c>
      <c r="D21">
        <f t="shared" si="0"/>
        <v>21115.75</v>
      </c>
      <c r="E21">
        <f t="shared" si="1"/>
        <v>22092.75</v>
      </c>
      <c r="F21">
        <f t="shared" si="2"/>
        <v>-4149.25</v>
      </c>
      <c r="G21">
        <f t="shared" si="3"/>
        <v>4149.25</v>
      </c>
      <c r="H21">
        <f>SUM($G$6:G21)/A17</f>
        <v>3770.8541666666661</v>
      </c>
      <c r="I21">
        <f t="shared" si="4"/>
        <v>15.811485405075832</v>
      </c>
      <c r="J21" s="7">
        <f>SUM($I$6:I21)/A17</f>
        <v>17.342502854296661</v>
      </c>
    </row>
  </sheetData>
  <pageMargins left="0.7" right="0.7" top="0.75" bottom="0.75" header="0.3" footer="0.3"/>
  <ignoredErrors>
    <ignoredError sqref="D5:D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3B212-013C-413C-BF8C-4AC426D2F915}">
  <dimension ref="A1:N22"/>
  <sheetViews>
    <sheetView workbookViewId="0">
      <selection activeCell="M15" sqref="M15"/>
    </sheetView>
  </sheetViews>
  <sheetFormatPr defaultRowHeight="14.4" x14ac:dyDescent="0.3"/>
  <cols>
    <col min="4" max="4" width="9.6640625" customWidth="1"/>
  </cols>
  <sheetData>
    <row r="1" spans="1:14" x14ac:dyDescent="0.3">
      <c r="A1" s="8" t="s">
        <v>0</v>
      </c>
      <c r="B1" s="6" t="s">
        <v>1</v>
      </c>
      <c r="C1" s="6" t="s">
        <v>5</v>
      </c>
      <c r="D1" s="6" t="s">
        <v>2</v>
      </c>
      <c r="E1" s="6" t="s">
        <v>3</v>
      </c>
      <c r="F1" s="6" t="s">
        <v>4</v>
      </c>
      <c r="G1" s="6" t="s">
        <v>42</v>
      </c>
      <c r="H1" s="6" t="s">
        <v>43</v>
      </c>
      <c r="I1" s="6" t="s">
        <v>44</v>
      </c>
      <c r="J1" s="6" t="s">
        <v>45</v>
      </c>
    </row>
    <row r="2" spans="1:14" x14ac:dyDescent="0.3">
      <c r="A2" s="9"/>
      <c r="D2">
        <f>AVERAGE(C3:C22)</f>
        <v>32365.25</v>
      </c>
    </row>
    <row r="3" spans="1:14" x14ac:dyDescent="0.3">
      <c r="A3" s="9">
        <v>1</v>
      </c>
      <c r="B3">
        <v>2015</v>
      </c>
      <c r="C3">
        <v>38632.333333333336</v>
      </c>
      <c r="D3">
        <f>$N$7*C3+(1-$N$7)*D2</f>
        <v>33618.666666666672</v>
      </c>
      <c r="E3">
        <f>D2</f>
        <v>32365.25</v>
      </c>
      <c r="F3">
        <f>E3-C3</f>
        <v>-6267.0833333333358</v>
      </c>
      <c r="G3">
        <f>ABS(F3)</f>
        <v>6267.0833333333358</v>
      </c>
      <c r="H3">
        <f>SUM($G$3:G3)/A3</f>
        <v>6267.0833333333358</v>
      </c>
      <c r="I3">
        <f>(G3/C3)*100</f>
        <v>16.222378491246541</v>
      </c>
      <c r="J3">
        <f>SUM($I$3:I3)/A3</f>
        <v>16.222378491246541</v>
      </c>
    </row>
    <row r="4" spans="1:14" x14ac:dyDescent="0.3">
      <c r="A4" s="9">
        <v>2</v>
      </c>
      <c r="B4">
        <v>2015</v>
      </c>
      <c r="C4">
        <v>34933.666666666664</v>
      </c>
      <c r="D4">
        <f t="shared" ref="D4:D22" si="0">$N$7*C4+(1-$N$7)*D3</f>
        <v>33881.666666666672</v>
      </c>
      <c r="E4">
        <f t="shared" ref="E4:E22" si="1">D3</f>
        <v>33618.666666666672</v>
      </c>
      <c r="F4">
        <f t="shared" ref="F4:F22" si="2">E4-C4</f>
        <v>-1314.9999999999927</v>
      </c>
      <c r="G4">
        <f t="shared" ref="G4:G22" si="3">ABS(F4)</f>
        <v>1314.9999999999927</v>
      </c>
      <c r="H4">
        <f>SUM($G$3:G4)/A4</f>
        <v>3791.0416666666642</v>
      </c>
      <c r="I4">
        <f t="shared" ref="I4:I22" si="4">(G4/C4)*100</f>
        <v>3.7642770584249945</v>
      </c>
      <c r="J4">
        <f>SUM($I$3:I4)/A4</f>
        <v>9.9933277748357678</v>
      </c>
    </row>
    <row r="5" spans="1:14" x14ac:dyDescent="0.3">
      <c r="A5" s="9">
        <v>3</v>
      </c>
      <c r="B5">
        <v>2015</v>
      </c>
      <c r="C5">
        <v>36995.666666666664</v>
      </c>
      <c r="D5">
        <f t="shared" si="0"/>
        <v>34504.466666666674</v>
      </c>
      <c r="E5">
        <f t="shared" si="1"/>
        <v>33881.666666666672</v>
      </c>
      <c r="F5">
        <f t="shared" si="2"/>
        <v>-3113.9999999999927</v>
      </c>
      <c r="G5">
        <f t="shared" si="3"/>
        <v>3113.9999999999927</v>
      </c>
      <c r="H5">
        <f>SUM($G$3:G5)/A5</f>
        <v>3565.3611111111072</v>
      </c>
      <c r="I5">
        <f t="shared" si="4"/>
        <v>8.4172020146503446</v>
      </c>
      <c r="J5">
        <f>SUM($I$3:I5)/A5</f>
        <v>9.4679525214406279</v>
      </c>
    </row>
    <row r="6" spans="1:14" x14ac:dyDescent="0.3">
      <c r="A6" s="9">
        <v>4</v>
      </c>
      <c r="B6">
        <v>2015</v>
      </c>
      <c r="C6">
        <v>36960</v>
      </c>
      <c r="D6">
        <f t="shared" si="0"/>
        <v>34995.573333333341</v>
      </c>
      <c r="E6">
        <f t="shared" si="1"/>
        <v>34504.466666666674</v>
      </c>
      <c r="F6">
        <f t="shared" si="2"/>
        <v>-2455.5333333333256</v>
      </c>
      <c r="G6">
        <f t="shared" si="3"/>
        <v>2455.5333333333256</v>
      </c>
      <c r="H6">
        <f>SUM($G$3:G6)/A6</f>
        <v>3287.9041666666617</v>
      </c>
      <c r="I6">
        <f t="shared" si="4"/>
        <v>6.6437590187589972</v>
      </c>
      <c r="J6">
        <f>SUM($I$3:I6)/A6</f>
        <v>8.7619041457702203</v>
      </c>
    </row>
    <row r="7" spans="1:14" x14ac:dyDescent="0.3">
      <c r="A7" s="9">
        <v>5</v>
      </c>
      <c r="B7">
        <v>2016</v>
      </c>
      <c r="C7">
        <v>35442</v>
      </c>
      <c r="D7">
        <f t="shared" si="0"/>
        <v>35084.858666666674</v>
      </c>
      <c r="E7">
        <f t="shared" si="1"/>
        <v>34995.573333333341</v>
      </c>
      <c r="F7">
        <f t="shared" si="2"/>
        <v>-446.426666666659</v>
      </c>
      <c r="G7">
        <f t="shared" si="3"/>
        <v>446.426666666659</v>
      </c>
      <c r="H7">
        <f>SUM($G$3:G7)/A7</f>
        <v>2719.6086666666611</v>
      </c>
      <c r="I7">
        <f t="shared" si="4"/>
        <v>1.2595978406034056</v>
      </c>
      <c r="J7">
        <f>SUM($I$3:I7)/A7</f>
        <v>7.2614428847368568</v>
      </c>
      <c r="M7" s="5" t="s">
        <v>6</v>
      </c>
      <c r="N7" s="7">
        <v>0.2</v>
      </c>
    </row>
    <row r="8" spans="1:14" x14ac:dyDescent="0.3">
      <c r="A8" s="9">
        <v>6</v>
      </c>
      <c r="B8">
        <v>2016</v>
      </c>
      <c r="C8">
        <v>30907.666666666668</v>
      </c>
      <c r="D8">
        <f t="shared" si="0"/>
        <v>34249.420266666675</v>
      </c>
      <c r="E8">
        <f t="shared" si="1"/>
        <v>35084.858666666674</v>
      </c>
      <c r="F8">
        <f t="shared" si="2"/>
        <v>4177.1920000000064</v>
      </c>
      <c r="G8">
        <f t="shared" si="3"/>
        <v>4177.1920000000064</v>
      </c>
      <c r="H8">
        <f>SUM($G$3:G8)/A8</f>
        <v>2962.5392222222185</v>
      </c>
      <c r="I8">
        <f t="shared" si="4"/>
        <v>13.515067458990778</v>
      </c>
      <c r="J8">
        <f>SUM($I$3:I8)/A8</f>
        <v>8.3037136471125113</v>
      </c>
    </row>
    <row r="9" spans="1:14" x14ac:dyDescent="0.3">
      <c r="A9" s="9">
        <v>7</v>
      </c>
      <c r="B9">
        <v>2016</v>
      </c>
      <c r="C9">
        <v>35270.5</v>
      </c>
      <c r="D9">
        <f t="shared" si="0"/>
        <v>34453.636213333339</v>
      </c>
      <c r="E9">
        <f t="shared" si="1"/>
        <v>34249.420266666675</v>
      </c>
      <c r="F9">
        <f t="shared" si="2"/>
        <v>-1021.0797333333248</v>
      </c>
      <c r="G9">
        <f t="shared" si="3"/>
        <v>1021.0797333333248</v>
      </c>
      <c r="H9">
        <f>SUM($G$3:G9)/A9</f>
        <v>2685.1878666666626</v>
      </c>
      <c r="I9">
        <f t="shared" si="4"/>
        <v>2.8949964795886785</v>
      </c>
      <c r="J9">
        <f>SUM($I$3:I9)/A9</f>
        <v>7.5310397660376776</v>
      </c>
    </row>
    <row r="10" spans="1:14" x14ac:dyDescent="0.3">
      <c r="A10" s="9">
        <v>8</v>
      </c>
      <c r="B10">
        <v>2016</v>
      </c>
      <c r="C10">
        <v>34780.666666666664</v>
      </c>
      <c r="D10">
        <f t="shared" si="0"/>
        <v>34519.042304000002</v>
      </c>
      <c r="E10">
        <f t="shared" si="1"/>
        <v>34453.636213333339</v>
      </c>
      <c r="F10">
        <f t="shared" si="2"/>
        <v>-327.03045333332557</v>
      </c>
      <c r="G10">
        <f t="shared" si="3"/>
        <v>327.03045333332557</v>
      </c>
      <c r="H10">
        <f>SUM($G$3:G10)/A10</f>
        <v>2390.4181899999953</v>
      </c>
      <c r="I10">
        <f t="shared" si="4"/>
        <v>0.94026505146535122</v>
      </c>
      <c r="J10">
        <f>SUM($I$3:I10)/A10</f>
        <v>6.7071929267161368</v>
      </c>
    </row>
    <row r="11" spans="1:14" x14ac:dyDescent="0.3">
      <c r="A11" s="9">
        <v>9</v>
      </c>
      <c r="B11">
        <v>2017</v>
      </c>
      <c r="C11">
        <v>35503.5</v>
      </c>
      <c r="D11">
        <f t="shared" si="0"/>
        <v>34715.933843200008</v>
      </c>
      <c r="E11">
        <f t="shared" si="1"/>
        <v>34519.042304000002</v>
      </c>
      <c r="F11">
        <f t="shared" si="2"/>
        <v>-984.45769599999767</v>
      </c>
      <c r="G11">
        <f t="shared" si="3"/>
        <v>984.45769599999767</v>
      </c>
      <c r="H11">
        <f>SUM($G$3:G11)/A11</f>
        <v>2234.2003573333291</v>
      </c>
      <c r="I11">
        <f t="shared" si="4"/>
        <v>2.7728468911515698</v>
      </c>
      <c r="J11">
        <f>SUM($I$3:I11)/A11</f>
        <v>6.2700433672089622</v>
      </c>
    </row>
    <row r="12" spans="1:14" x14ac:dyDescent="0.3">
      <c r="A12" s="9">
        <v>10</v>
      </c>
      <c r="B12">
        <v>2017</v>
      </c>
      <c r="C12">
        <v>34503.333333333336</v>
      </c>
      <c r="D12">
        <f t="shared" si="0"/>
        <v>34673.413741226672</v>
      </c>
      <c r="E12">
        <f t="shared" si="1"/>
        <v>34715.933843200008</v>
      </c>
      <c r="F12">
        <f t="shared" si="2"/>
        <v>212.60050986667193</v>
      </c>
      <c r="G12">
        <f t="shared" si="3"/>
        <v>212.60050986667193</v>
      </c>
      <c r="H12">
        <f>SUM($G$3:G12)/A12</f>
        <v>2032.0403725866631</v>
      </c>
      <c r="I12">
        <f t="shared" si="4"/>
        <v>0.61617382822917177</v>
      </c>
      <c r="J12">
        <f>SUM($I$3:I12)/A12</f>
        <v>5.7046564133109836</v>
      </c>
    </row>
    <row r="13" spans="1:14" x14ac:dyDescent="0.3">
      <c r="A13" s="9">
        <v>11</v>
      </c>
      <c r="B13">
        <v>2017</v>
      </c>
      <c r="C13">
        <v>38739</v>
      </c>
      <c r="D13">
        <f t="shared" si="0"/>
        <v>35486.530992981337</v>
      </c>
      <c r="E13">
        <f t="shared" si="1"/>
        <v>34673.413741226672</v>
      </c>
      <c r="F13">
        <f t="shared" si="2"/>
        <v>-4065.5862587733282</v>
      </c>
      <c r="G13">
        <f t="shared" si="3"/>
        <v>4065.5862587733282</v>
      </c>
      <c r="H13">
        <f>SUM($G$3:G13)/A13</f>
        <v>2216.9081804218144</v>
      </c>
      <c r="I13">
        <f t="shared" si="4"/>
        <v>10.494814679711215</v>
      </c>
      <c r="J13">
        <f>SUM($I$3:I13)/A13</f>
        <v>6.1401253466200956</v>
      </c>
    </row>
    <row r="14" spans="1:14" x14ac:dyDescent="0.3">
      <c r="A14" s="9">
        <v>12</v>
      </c>
      <c r="B14">
        <v>2017</v>
      </c>
      <c r="C14">
        <v>34280</v>
      </c>
      <c r="D14">
        <f t="shared" si="0"/>
        <v>35245.224794385067</v>
      </c>
      <c r="E14">
        <f t="shared" si="1"/>
        <v>35486.530992981337</v>
      </c>
      <c r="F14">
        <f t="shared" si="2"/>
        <v>1206.5309929813375</v>
      </c>
      <c r="G14">
        <f t="shared" si="3"/>
        <v>1206.5309929813375</v>
      </c>
      <c r="H14">
        <f>SUM($G$3:G14)/A14</f>
        <v>2132.7100814684413</v>
      </c>
      <c r="I14">
        <f t="shared" si="4"/>
        <v>3.5196353354181373</v>
      </c>
      <c r="J14">
        <f>SUM($I$3:I14)/A14</f>
        <v>5.9217511790199326</v>
      </c>
    </row>
    <row r="15" spans="1:14" x14ac:dyDescent="0.3">
      <c r="A15" s="9">
        <v>13</v>
      </c>
      <c r="B15">
        <v>2018</v>
      </c>
      <c r="C15">
        <v>34872</v>
      </c>
      <c r="D15">
        <f t="shared" si="0"/>
        <v>35170.579835508055</v>
      </c>
      <c r="E15">
        <f t="shared" si="1"/>
        <v>35245.224794385067</v>
      </c>
      <c r="F15">
        <f t="shared" si="2"/>
        <v>373.22479438506707</v>
      </c>
      <c r="G15">
        <f t="shared" si="3"/>
        <v>373.22479438506707</v>
      </c>
      <c r="H15">
        <f>SUM($G$3:G15)/A15</f>
        <v>1997.365059385105</v>
      </c>
      <c r="I15">
        <f t="shared" si="4"/>
        <v>1.0702706881884234</v>
      </c>
      <c r="J15">
        <f>SUM($I$3:I15)/A15</f>
        <v>5.5485603720328944</v>
      </c>
    </row>
    <row r="16" spans="1:14" x14ac:dyDescent="0.3">
      <c r="A16" s="9">
        <v>14</v>
      </c>
      <c r="B16">
        <v>2018</v>
      </c>
      <c r="C16">
        <v>34679.666666666664</v>
      </c>
      <c r="D16">
        <f t="shared" si="0"/>
        <v>35072.397201739775</v>
      </c>
      <c r="E16">
        <f t="shared" si="1"/>
        <v>35170.579835508055</v>
      </c>
      <c r="F16">
        <f t="shared" si="2"/>
        <v>490.91316884139087</v>
      </c>
      <c r="G16">
        <f t="shared" si="3"/>
        <v>490.91316884139087</v>
      </c>
      <c r="H16">
        <f>SUM($G$3:G16)/A16</f>
        <v>1889.7613529176967</v>
      </c>
      <c r="I16">
        <f t="shared" si="4"/>
        <v>1.4155648425342158</v>
      </c>
      <c r="J16">
        <f>SUM($I$3:I16)/A16</f>
        <v>5.2533464056401309</v>
      </c>
    </row>
    <row r="17" spans="1:10" x14ac:dyDescent="0.3">
      <c r="A17" s="9">
        <v>15</v>
      </c>
      <c r="B17">
        <v>2018</v>
      </c>
      <c r="C17">
        <v>36192</v>
      </c>
      <c r="D17">
        <f t="shared" si="0"/>
        <v>35296.317761391823</v>
      </c>
      <c r="E17">
        <f t="shared" si="1"/>
        <v>35072.397201739775</v>
      </c>
      <c r="F17">
        <f t="shared" si="2"/>
        <v>-1119.6027982602245</v>
      </c>
      <c r="G17">
        <f t="shared" si="3"/>
        <v>1119.6027982602245</v>
      </c>
      <c r="H17">
        <f>SUM($G$3:G17)/A17</f>
        <v>1838.4174492738653</v>
      </c>
      <c r="I17">
        <f t="shared" si="4"/>
        <v>3.0935090579692321</v>
      </c>
      <c r="J17">
        <f>SUM($I$3:I17)/A17</f>
        <v>5.1093572491287373</v>
      </c>
    </row>
    <row r="18" spans="1:10" x14ac:dyDescent="0.3">
      <c r="A18" s="9">
        <v>16</v>
      </c>
      <c r="B18">
        <v>2018</v>
      </c>
      <c r="C18">
        <v>30150</v>
      </c>
      <c r="D18">
        <f t="shared" si="0"/>
        <v>34267.054209113456</v>
      </c>
      <c r="E18">
        <f t="shared" si="1"/>
        <v>35296.317761391823</v>
      </c>
      <c r="F18">
        <f t="shared" si="2"/>
        <v>5146.3177613918233</v>
      </c>
      <c r="G18">
        <f t="shared" si="3"/>
        <v>5146.3177613918233</v>
      </c>
      <c r="H18">
        <f>SUM($G$3:G18)/A18</f>
        <v>2045.1612187812377</v>
      </c>
      <c r="I18">
        <f t="shared" si="4"/>
        <v>17.069047301465417</v>
      </c>
      <c r="J18">
        <f>SUM($I$3:I18)/A18</f>
        <v>5.85683787739978</v>
      </c>
    </row>
    <row r="19" spans="1:10" x14ac:dyDescent="0.3">
      <c r="A19" s="9">
        <v>17</v>
      </c>
      <c r="B19">
        <v>2019</v>
      </c>
      <c r="C19">
        <v>24995</v>
      </c>
      <c r="D19">
        <f t="shared" si="0"/>
        <v>32412.643367290766</v>
      </c>
      <c r="E19">
        <f t="shared" si="1"/>
        <v>34267.054209113456</v>
      </c>
      <c r="F19">
        <f t="shared" si="2"/>
        <v>9272.0542091134557</v>
      </c>
      <c r="G19">
        <f t="shared" si="3"/>
        <v>9272.0542091134557</v>
      </c>
      <c r="H19">
        <f>SUM($G$3:G19)/A19</f>
        <v>2470.2725711537214</v>
      </c>
      <c r="I19">
        <f t="shared" si="4"/>
        <v>37.095635963646551</v>
      </c>
      <c r="J19">
        <f>SUM($I$3:I19)/A19</f>
        <v>7.6944142354142953</v>
      </c>
    </row>
    <row r="20" spans="1:10" x14ac:dyDescent="0.3">
      <c r="A20" s="9">
        <v>18</v>
      </c>
      <c r="B20">
        <v>2019</v>
      </c>
      <c r="C20">
        <v>19297.666666666668</v>
      </c>
      <c r="D20">
        <f t="shared" si="0"/>
        <v>29789.648027165946</v>
      </c>
      <c r="E20">
        <f t="shared" si="1"/>
        <v>32412.643367290766</v>
      </c>
      <c r="F20">
        <f t="shared" si="2"/>
        <v>13114.976700624098</v>
      </c>
      <c r="G20">
        <f t="shared" si="3"/>
        <v>13114.976700624098</v>
      </c>
      <c r="H20">
        <f>SUM($G$3:G20)/A20</f>
        <v>3061.6450227909645</v>
      </c>
      <c r="I20">
        <f t="shared" si="4"/>
        <v>67.961463565322731</v>
      </c>
      <c r="J20">
        <f>SUM($I$3:I20)/A20</f>
        <v>11.042583642631431</v>
      </c>
    </row>
    <row r="21" spans="1:10" x14ac:dyDescent="0.3">
      <c r="A21" s="9">
        <v>19</v>
      </c>
      <c r="B21">
        <v>2019</v>
      </c>
      <c r="C21">
        <v>13928.333333333334</v>
      </c>
      <c r="D21">
        <f t="shared" si="0"/>
        <v>26617.385088399427</v>
      </c>
      <c r="E21">
        <f t="shared" si="1"/>
        <v>29789.648027165946</v>
      </c>
      <c r="F21">
        <f t="shared" si="2"/>
        <v>15861.314693832612</v>
      </c>
      <c r="G21">
        <f t="shared" si="3"/>
        <v>15861.314693832612</v>
      </c>
      <c r="H21">
        <f>SUM($G$3:G21)/A21</f>
        <v>3735.3118475826304</v>
      </c>
      <c r="I21">
        <f t="shared" si="4"/>
        <v>113.87805212755255</v>
      </c>
      <c r="J21">
        <f>SUM($I$3:I21)/A21</f>
        <v>16.454976720785176</v>
      </c>
    </row>
    <row r="22" spans="1:10" x14ac:dyDescent="0.3">
      <c r="A22" s="9">
        <v>20</v>
      </c>
      <c r="B22">
        <v>2019</v>
      </c>
      <c r="C22">
        <v>26242</v>
      </c>
      <c r="D22">
        <f t="shared" si="0"/>
        <v>26542.308070719544</v>
      </c>
      <c r="E22">
        <f t="shared" si="1"/>
        <v>26617.385088399427</v>
      </c>
      <c r="F22">
        <f t="shared" si="2"/>
        <v>375.38508839942733</v>
      </c>
      <c r="G22">
        <f t="shared" si="3"/>
        <v>375.38508839942733</v>
      </c>
      <c r="H22">
        <f>SUM($G$3:G22)/A22</f>
        <v>3567.3155096234705</v>
      </c>
      <c r="I22">
        <f t="shared" si="4"/>
        <v>1.4304743860964384</v>
      </c>
      <c r="J22" s="7">
        <f>SUM($I$3:I22)/A22</f>
        <v>15.703751604050737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230B-426C-481B-89E6-CB80FFBCB4A1}">
  <dimension ref="A1:I18"/>
  <sheetViews>
    <sheetView workbookViewId="0">
      <selection activeCell="K13" sqref="K13"/>
    </sheetView>
  </sheetViews>
  <sheetFormatPr defaultRowHeight="14.4" x14ac:dyDescent="0.3"/>
  <sheetData>
    <row r="1" spans="1:9" x14ac:dyDescent="0.3">
      <c r="A1" t="s">
        <v>9</v>
      </c>
    </row>
    <row r="2" spans="1:9" ht="15" thickBot="1" x14ac:dyDescent="0.35"/>
    <row r="3" spans="1:9" x14ac:dyDescent="0.3">
      <c r="A3" s="4" t="s">
        <v>10</v>
      </c>
      <c r="B3" s="4"/>
    </row>
    <row r="4" spans="1:9" x14ac:dyDescent="0.3">
      <c r="A4" s="1" t="s">
        <v>11</v>
      </c>
      <c r="B4" s="1">
        <v>0.70618213446268718</v>
      </c>
    </row>
    <row r="5" spans="1:9" x14ac:dyDescent="0.3">
      <c r="A5" s="1" t="s">
        <v>12</v>
      </c>
      <c r="B5" s="1">
        <v>0.49869320703427683</v>
      </c>
    </row>
    <row r="6" spans="1:9" x14ac:dyDescent="0.3">
      <c r="A6" s="1" t="s">
        <v>13</v>
      </c>
      <c r="B6" s="1">
        <v>0.46288557896529658</v>
      </c>
    </row>
    <row r="7" spans="1:9" x14ac:dyDescent="0.3">
      <c r="A7" s="1" t="s">
        <v>14</v>
      </c>
      <c r="B7" s="1">
        <v>3111.655659127156</v>
      </c>
    </row>
    <row r="8" spans="1:9" ht="15" thickBot="1" x14ac:dyDescent="0.35">
      <c r="A8" s="2" t="s">
        <v>15</v>
      </c>
      <c r="B8" s="2">
        <v>16</v>
      </c>
    </row>
    <row r="10" spans="1:9" ht="15" thickBot="1" x14ac:dyDescent="0.35">
      <c r="A10" t="s">
        <v>16</v>
      </c>
    </row>
    <row r="11" spans="1:9" x14ac:dyDescent="0.3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9" x14ac:dyDescent="0.3">
      <c r="A12" s="1" t="s">
        <v>17</v>
      </c>
      <c r="B12" s="1">
        <v>1</v>
      </c>
      <c r="C12" s="1">
        <v>134846898.20130721</v>
      </c>
      <c r="D12" s="1">
        <v>134846898.20130721</v>
      </c>
      <c r="E12" s="1">
        <v>13.927010358619359</v>
      </c>
      <c r="F12" s="1">
        <v>2.2319117457209586E-3</v>
      </c>
    </row>
    <row r="13" spans="1:9" x14ac:dyDescent="0.3">
      <c r="A13" s="1" t="s">
        <v>18</v>
      </c>
      <c r="B13" s="1">
        <v>14</v>
      </c>
      <c r="C13" s="1">
        <v>135553613.17369279</v>
      </c>
      <c r="D13" s="1">
        <v>9682400.9409780558</v>
      </c>
      <c r="E13" s="1"/>
      <c r="F13" s="1"/>
    </row>
    <row r="14" spans="1:9" ht="15" thickBot="1" x14ac:dyDescent="0.35">
      <c r="A14" s="2" t="s">
        <v>19</v>
      </c>
      <c r="B14" s="2">
        <v>15</v>
      </c>
      <c r="C14" s="2">
        <v>270400511.375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 x14ac:dyDescent="0.3">
      <c r="A17" s="1" t="s">
        <v>20</v>
      </c>
      <c r="B17" s="1">
        <v>39809.247671568628</v>
      </c>
      <c r="C17" s="1">
        <v>1935.1514029068617</v>
      </c>
      <c r="D17" s="1">
        <v>20.57164499468605</v>
      </c>
      <c r="E17" s="1">
        <v>7.3364765371626035E-12</v>
      </c>
      <c r="F17" s="1">
        <v>35658.760703508524</v>
      </c>
      <c r="G17" s="1">
        <v>43959.734639628732</v>
      </c>
      <c r="H17" s="1">
        <v>35658.760703508524</v>
      </c>
      <c r="I17" s="1">
        <v>43959.734639628732</v>
      </c>
    </row>
    <row r="18" spans="1:9" ht="15" thickBot="1" x14ac:dyDescent="0.35">
      <c r="A18" s="2" t="s">
        <v>33</v>
      </c>
      <c r="B18" s="2">
        <v>-629.76862745098038</v>
      </c>
      <c r="C18" s="2">
        <v>168.75322167711658</v>
      </c>
      <c r="D18" s="2">
        <v>-3.7318909896484587</v>
      </c>
      <c r="E18" s="2">
        <v>2.2319117457209586E-3</v>
      </c>
      <c r="F18" s="2">
        <v>-991.70829084730235</v>
      </c>
      <c r="G18" s="2">
        <v>-267.82896405465846</v>
      </c>
      <c r="H18" s="2">
        <v>-991.70829084730235</v>
      </c>
      <c r="I18" s="2">
        <v>-267.82896405465846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FC52-FE6D-4DFC-9A5C-C3B99B81CEAC}">
  <dimension ref="A1:M24"/>
  <sheetViews>
    <sheetView workbookViewId="0">
      <selection activeCell="H27" sqref="H27"/>
    </sheetView>
  </sheetViews>
  <sheetFormatPr defaultRowHeight="14.4" x14ac:dyDescent="0.3"/>
  <cols>
    <col min="4" max="4" width="20.77734375" customWidth="1"/>
    <col min="5" max="5" width="11.77734375" customWidth="1"/>
    <col min="6" max="6" width="15.77734375" customWidth="1"/>
  </cols>
  <sheetData>
    <row r="1" spans="1:13" x14ac:dyDescent="0.3">
      <c r="A1" s="6" t="s">
        <v>0</v>
      </c>
      <c r="B1" s="6" t="s">
        <v>1</v>
      </c>
      <c r="C1" s="6" t="s">
        <v>5</v>
      </c>
      <c r="D1" s="6" t="s">
        <v>7</v>
      </c>
      <c r="E1" s="6" t="s">
        <v>8</v>
      </c>
      <c r="F1" s="6" t="s">
        <v>36</v>
      </c>
      <c r="G1" s="6" t="s">
        <v>37</v>
      </c>
      <c r="H1" s="6" t="s">
        <v>3</v>
      </c>
      <c r="I1" s="6" t="s">
        <v>4</v>
      </c>
      <c r="J1" s="6" t="s">
        <v>42</v>
      </c>
      <c r="K1" s="6" t="s">
        <v>43</v>
      </c>
      <c r="L1" s="6" t="s">
        <v>44</v>
      </c>
      <c r="M1" s="6" t="s">
        <v>45</v>
      </c>
    </row>
    <row r="2" spans="1:13" x14ac:dyDescent="0.3">
      <c r="A2" s="5">
        <v>1</v>
      </c>
      <c r="B2">
        <v>2015</v>
      </c>
      <c r="C2">
        <v>38632.333333333336</v>
      </c>
      <c r="E2">
        <f>$F$23+$F$24*A2</f>
        <v>39179.479044117645</v>
      </c>
      <c r="F2">
        <f>E2/C2</f>
        <v>1.014162895781193</v>
      </c>
      <c r="G2">
        <f>AVERAGE(F2,F6,F10,F14,F18)</f>
        <v>1.0162685143798202</v>
      </c>
      <c r="H2">
        <f>($F$23+$F$24*A2)*G2</f>
        <v>39816.870962340741</v>
      </c>
      <c r="I2">
        <f>H2-C2</f>
        <v>1184.5376290074055</v>
      </c>
      <c r="J2">
        <f>ABS(I2)</f>
        <v>1184.5376290074055</v>
      </c>
      <c r="K2">
        <f>SUM($J$2:J2)/A2</f>
        <v>1184.5376290074055</v>
      </c>
      <c r="L2">
        <f>(J2/C2)*100</f>
        <v>3.0661819434689561</v>
      </c>
      <c r="M2">
        <f>SUM($L$2:L2)/A2</f>
        <v>3.0661819434689561</v>
      </c>
    </row>
    <row r="3" spans="1:13" x14ac:dyDescent="0.3">
      <c r="A3" s="5">
        <v>2</v>
      </c>
      <c r="B3">
        <v>2015</v>
      </c>
      <c r="C3">
        <v>34933.666666666664</v>
      </c>
      <c r="E3">
        <f t="shared" ref="E3:E21" si="0">$F$23+$F$24*A3</f>
        <v>38549.710416666669</v>
      </c>
      <c r="F3">
        <f t="shared" ref="F3:F21" si="1">E3/C3</f>
        <v>1.1035117150599709</v>
      </c>
      <c r="G3">
        <f t="shared" ref="G3:G5" si="2">AVERAGE(F3,F7,F11,F15,F19)</f>
        <v>1.1219363757958187</v>
      </c>
      <c r="H3">
        <f t="shared" ref="H3:H5" si="3">($F$23+$F$24*A3)*G3</f>
        <v>43250.322392853326</v>
      </c>
      <c r="I3">
        <f t="shared" ref="I3:I21" si="4">H3-C3</f>
        <v>8316.6557261866619</v>
      </c>
      <c r="J3">
        <f t="shared" ref="J3:J21" si="5">ABS(I3)</f>
        <v>8316.6557261866619</v>
      </c>
      <c r="K3">
        <f>SUM($J$2:J3)/A3</f>
        <v>4750.5966775970337</v>
      </c>
      <c r="L3">
        <f t="shared" ref="L3:L21" si="6">(J3/C3)*100</f>
        <v>23.806993424261208</v>
      </c>
      <c r="M3">
        <f>SUM($L$2:L3)/A3</f>
        <v>13.436587683865081</v>
      </c>
    </row>
    <row r="4" spans="1:13" x14ac:dyDescent="0.3">
      <c r="A4" s="5">
        <v>3</v>
      </c>
      <c r="B4">
        <v>2015</v>
      </c>
      <c r="C4">
        <v>36995.666666666664</v>
      </c>
      <c r="D4">
        <f>(C2+C6+2*SUM(C3:C5))/8</f>
        <v>36481.625</v>
      </c>
      <c r="E4">
        <f t="shared" si="0"/>
        <v>37919.941789215685</v>
      </c>
      <c r="F4">
        <f t="shared" si="1"/>
        <v>1.0249833346936763</v>
      </c>
      <c r="G4">
        <f t="shared" si="2"/>
        <v>1.143096484163822</v>
      </c>
      <c r="H4">
        <f t="shared" si="3"/>
        <v>43346.152138949241</v>
      </c>
      <c r="I4">
        <f t="shared" si="4"/>
        <v>6350.4854722825767</v>
      </c>
      <c r="J4">
        <f t="shared" si="5"/>
        <v>6350.4854722825767</v>
      </c>
      <c r="K4">
        <f>SUM($J$2:J4)/A4</f>
        <v>5283.8929424922144</v>
      </c>
      <c r="L4">
        <f t="shared" si="6"/>
        <v>17.16548462148516</v>
      </c>
      <c r="M4">
        <f>SUM($L$2:L4)/A4</f>
        <v>14.67955332973844</v>
      </c>
    </row>
    <row r="5" spans="1:13" x14ac:dyDescent="0.3">
      <c r="A5" s="5">
        <v>4</v>
      </c>
      <c r="B5">
        <v>2015</v>
      </c>
      <c r="C5">
        <v>36960</v>
      </c>
      <c r="D5">
        <f t="shared" ref="D5:D19" si="7">(C3+C7+2*SUM(C4:C6))/8</f>
        <v>35579.583333333328</v>
      </c>
      <c r="E5">
        <f t="shared" si="0"/>
        <v>37290.173161764709</v>
      </c>
      <c r="F5">
        <f t="shared" si="1"/>
        <v>1.008933256541253</v>
      </c>
      <c r="G5">
        <f t="shared" si="2"/>
        <v>0.99454031795726472</v>
      </c>
      <c r="H5">
        <f t="shared" si="3"/>
        <v>37086.580672982935</v>
      </c>
      <c r="I5">
        <f t="shared" si="4"/>
        <v>126.58067298293463</v>
      </c>
      <c r="J5">
        <f t="shared" si="5"/>
        <v>126.58067298293463</v>
      </c>
      <c r="K5">
        <f>SUM($J$2:J5)/A5</f>
        <v>3994.5648751148947</v>
      </c>
      <c r="L5">
        <f t="shared" si="6"/>
        <v>0.34248017581962836</v>
      </c>
      <c r="M5">
        <f>SUM($L$2:L5)/A5</f>
        <v>11.095285041258737</v>
      </c>
    </row>
    <row r="6" spans="1:13" x14ac:dyDescent="0.3">
      <c r="A6" s="5">
        <v>5</v>
      </c>
      <c r="B6">
        <v>2016</v>
      </c>
      <c r="C6">
        <v>35442</v>
      </c>
      <c r="D6">
        <f t="shared" si="7"/>
        <v>34860.6875</v>
      </c>
      <c r="E6">
        <f t="shared" si="0"/>
        <v>36660.404534313726</v>
      </c>
      <c r="F6">
        <f t="shared" si="1"/>
        <v>1.0343774204140208</v>
      </c>
      <c r="H6">
        <f>($F$23+$F$24*A6)*G2</f>
        <v>37256.814852650234</v>
      </c>
      <c r="I6">
        <f t="shared" si="4"/>
        <v>1814.8148526502337</v>
      </c>
      <c r="J6">
        <f t="shared" si="5"/>
        <v>1814.8148526502337</v>
      </c>
      <c r="K6">
        <f>SUM($J$2:J6)/A6</f>
        <v>3558.6148706219624</v>
      </c>
      <c r="L6">
        <f t="shared" si="6"/>
        <v>5.1205204352187623</v>
      </c>
      <c r="M6">
        <f>SUM($L$2:L6)/A6</f>
        <v>9.9003321200507433</v>
      </c>
    </row>
    <row r="7" spans="1:13" x14ac:dyDescent="0.3">
      <c r="A7" s="5">
        <v>6</v>
      </c>
      <c r="B7">
        <v>2016</v>
      </c>
      <c r="C7">
        <v>30907.666666666668</v>
      </c>
      <c r="D7">
        <f t="shared" si="7"/>
        <v>34372.625</v>
      </c>
      <c r="E7">
        <f t="shared" si="0"/>
        <v>36030.635906862743</v>
      </c>
      <c r="F7">
        <f t="shared" si="1"/>
        <v>1.1657507600119519</v>
      </c>
      <c r="H7">
        <f t="shared" ref="H7:H9" si="8">($F$23+$F$24*A7)*G3</f>
        <v>40424.081066964281</v>
      </c>
      <c r="I7">
        <f t="shared" si="4"/>
        <v>9516.4144002976136</v>
      </c>
      <c r="J7">
        <f t="shared" si="5"/>
        <v>9516.4144002976136</v>
      </c>
      <c r="K7">
        <f>SUM($J$2:J7)/A7</f>
        <v>4551.581458901238</v>
      </c>
      <c r="L7">
        <f t="shared" si="6"/>
        <v>30.789818276903073</v>
      </c>
      <c r="M7">
        <f>SUM($L$2:L7)/A7</f>
        <v>13.381913146192799</v>
      </c>
    </row>
    <row r="8" spans="1:13" x14ac:dyDescent="0.3">
      <c r="A8" s="5">
        <v>7</v>
      </c>
      <c r="B8">
        <v>2016</v>
      </c>
      <c r="C8">
        <v>35270.5</v>
      </c>
      <c r="D8">
        <f t="shared" si="7"/>
        <v>34107.895833333336</v>
      </c>
      <c r="E8">
        <f t="shared" si="0"/>
        <v>35400.867279411767</v>
      </c>
      <c r="F8">
        <f t="shared" si="1"/>
        <v>1.0036962129658431</v>
      </c>
      <c r="H8">
        <f t="shared" si="8"/>
        <v>40466.606923445681</v>
      </c>
      <c r="I8">
        <f t="shared" si="4"/>
        <v>5196.1069234456809</v>
      </c>
      <c r="J8">
        <f t="shared" si="5"/>
        <v>5196.1069234456809</v>
      </c>
      <c r="K8">
        <f>SUM($J$2:J8)/A8</f>
        <v>4643.6565252647297</v>
      </c>
      <c r="L8">
        <f t="shared" si="6"/>
        <v>14.732161220979801</v>
      </c>
      <c r="M8">
        <f>SUM($L$2:L8)/A8</f>
        <v>13.574805728305227</v>
      </c>
    </row>
    <row r="9" spans="1:13" x14ac:dyDescent="0.3">
      <c r="A9" s="5">
        <v>8</v>
      </c>
      <c r="B9">
        <v>2016</v>
      </c>
      <c r="C9">
        <v>34780.666666666664</v>
      </c>
      <c r="D9">
        <f t="shared" si="7"/>
        <v>34565.041666666664</v>
      </c>
      <c r="E9">
        <f t="shared" si="0"/>
        <v>34771.098651960783</v>
      </c>
      <c r="F9">
        <f t="shared" si="1"/>
        <v>0.99972490421769145</v>
      </c>
      <c r="H9">
        <f t="shared" si="8"/>
        <v>34581.259509044496</v>
      </c>
      <c r="I9">
        <f t="shared" si="4"/>
        <v>-199.4071576221686</v>
      </c>
      <c r="J9">
        <f t="shared" si="5"/>
        <v>199.4071576221686</v>
      </c>
      <c r="K9">
        <f>SUM($J$2:J9)/A9</f>
        <v>4088.1253543094094</v>
      </c>
      <c r="L9">
        <f t="shared" si="6"/>
        <v>0.57332758895411806</v>
      </c>
      <c r="M9">
        <f>SUM($L$2:L9)/A9</f>
        <v>11.949620960886339</v>
      </c>
    </row>
    <row r="10" spans="1:13" x14ac:dyDescent="0.3">
      <c r="A10" s="5">
        <v>9</v>
      </c>
      <c r="B10">
        <v>2017</v>
      </c>
      <c r="C10">
        <v>35503.5</v>
      </c>
      <c r="D10">
        <f t="shared" si="7"/>
        <v>35448.0625</v>
      </c>
      <c r="E10">
        <f t="shared" si="0"/>
        <v>34141.330024509807</v>
      </c>
      <c r="F10">
        <f t="shared" si="1"/>
        <v>0.96163279745686503</v>
      </c>
      <c r="H10">
        <f>($F$23+$F$24*A10)*G2</f>
        <v>34696.758742959733</v>
      </c>
      <c r="I10">
        <f t="shared" si="4"/>
        <v>-806.74125704026665</v>
      </c>
      <c r="J10">
        <f t="shared" si="5"/>
        <v>806.74125704026665</v>
      </c>
      <c r="K10">
        <f>SUM($J$2:J10)/A10</f>
        <v>3723.5271212795051</v>
      </c>
      <c r="L10">
        <f t="shared" si="6"/>
        <v>2.2722865549601212</v>
      </c>
      <c r="M10">
        <f>SUM($L$2:L10)/A10</f>
        <v>10.874361582450092</v>
      </c>
    </row>
    <row r="11" spans="1:13" x14ac:dyDescent="0.3">
      <c r="A11" s="5">
        <v>10</v>
      </c>
      <c r="B11">
        <v>2017</v>
      </c>
      <c r="C11">
        <v>34503.333333333336</v>
      </c>
      <c r="D11">
        <f t="shared" si="7"/>
        <v>35819.041666666672</v>
      </c>
      <c r="E11">
        <f t="shared" si="0"/>
        <v>33511.561397058824</v>
      </c>
      <c r="F11">
        <f t="shared" si="1"/>
        <v>0.97125576457517593</v>
      </c>
      <c r="H11">
        <f t="shared" ref="H11:H13" si="9">($F$23+$F$24*A11)*G3</f>
        <v>37597.839741075244</v>
      </c>
      <c r="I11">
        <f t="shared" si="4"/>
        <v>3094.5064077419083</v>
      </c>
      <c r="J11">
        <f t="shared" si="5"/>
        <v>3094.5064077419083</v>
      </c>
      <c r="K11">
        <f>SUM($J$2:J11)/A11</f>
        <v>3660.6250499257453</v>
      </c>
      <c r="L11">
        <f t="shared" si="6"/>
        <v>8.9687172478269961</v>
      </c>
      <c r="M11">
        <f>SUM($L$2:L11)/A11</f>
        <v>10.683797148987782</v>
      </c>
    </row>
    <row r="12" spans="1:13" x14ac:dyDescent="0.3">
      <c r="A12" s="5">
        <v>11</v>
      </c>
      <c r="B12">
        <v>2017</v>
      </c>
      <c r="C12">
        <v>38739</v>
      </c>
      <c r="D12">
        <f t="shared" si="7"/>
        <v>35677.520833333336</v>
      </c>
      <c r="E12">
        <f t="shared" si="0"/>
        <v>32881.79276960784</v>
      </c>
      <c r="F12">
        <f t="shared" si="1"/>
        <v>0.84880334468127316</v>
      </c>
      <c r="H12">
        <f t="shared" si="9"/>
        <v>37587.061707942106</v>
      </c>
      <c r="I12">
        <f t="shared" si="4"/>
        <v>-1151.9382920578937</v>
      </c>
      <c r="J12">
        <f t="shared" si="5"/>
        <v>1151.9382920578937</v>
      </c>
      <c r="K12">
        <f>SUM($J$2:J12)/A12</f>
        <v>3432.5626173923042</v>
      </c>
      <c r="L12">
        <f t="shared" si="6"/>
        <v>2.9735880948343882</v>
      </c>
      <c r="M12">
        <f>SUM($L$2:L12)/A12</f>
        <v>9.982869053155655</v>
      </c>
    </row>
    <row r="13" spans="1:13" x14ac:dyDescent="0.3">
      <c r="A13" s="5">
        <v>12</v>
      </c>
      <c r="B13">
        <v>2017</v>
      </c>
      <c r="C13">
        <v>34280</v>
      </c>
      <c r="D13">
        <f t="shared" si="7"/>
        <v>35620.625</v>
      </c>
      <c r="E13">
        <f t="shared" si="0"/>
        <v>32252.024142156864</v>
      </c>
      <c r="F13">
        <f t="shared" si="1"/>
        <v>0.94084084428695636</v>
      </c>
      <c r="H13">
        <f t="shared" si="9"/>
        <v>32075.938345106068</v>
      </c>
      <c r="I13">
        <f t="shared" si="4"/>
        <v>-2204.0616548939324</v>
      </c>
      <c r="J13">
        <f t="shared" si="5"/>
        <v>2204.0616548939324</v>
      </c>
      <c r="K13">
        <f>SUM($J$2:J13)/A13</f>
        <v>3330.1875371841065</v>
      </c>
      <c r="L13">
        <f t="shared" si="6"/>
        <v>6.4295847575668974</v>
      </c>
      <c r="M13">
        <f>SUM($L$2:L13)/A13</f>
        <v>9.6867620285232601</v>
      </c>
    </row>
    <row r="14" spans="1:13" x14ac:dyDescent="0.3">
      <c r="A14" s="5">
        <v>13</v>
      </c>
      <c r="B14">
        <v>2018</v>
      </c>
      <c r="C14">
        <v>34872</v>
      </c>
      <c r="D14">
        <f t="shared" si="7"/>
        <v>35324.291666666664</v>
      </c>
      <c r="E14">
        <f t="shared" si="0"/>
        <v>31622.255514705881</v>
      </c>
      <c r="F14">
        <f t="shared" si="1"/>
        <v>0.90680934602850083</v>
      </c>
      <c r="H14">
        <f>($F$23+$F$24*A14)*G2</f>
        <v>32136.702633269222</v>
      </c>
      <c r="I14">
        <f t="shared" si="4"/>
        <v>-2735.2973667307779</v>
      </c>
      <c r="J14">
        <f t="shared" si="5"/>
        <v>2735.2973667307779</v>
      </c>
      <c r="K14">
        <f>SUM($J$2:J14)/A14</f>
        <v>3284.4267548415428</v>
      </c>
      <c r="L14">
        <f t="shared" si="6"/>
        <v>7.8438213085879154</v>
      </c>
      <c r="M14">
        <f>SUM($L$2:L14)/A14</f>
        <v>9.5449973577590033</v>
      </c>
    </row>
    <row r="15" spans="1:13" x14ac:dyDescent="0.3">
      <c r="A15" s="5">
        <v>14</v>
      </c>
      <c r="B15">
        <v>2018</v>
      </c>
      <c r="C15">
        <v>34679.666666666664</v>
      </c>
      <c r="D15">
        <f t="shared" si="7"/>
        <v>34489.666666666664</v>
      </c>
      <c r="E15">
        <f t="shared" si="0"/>
        <v>30992.486887254905</v>
      </c>
      <c r="F15">
        <f t="shared" si="1"/>
        <v>0.89367891523144904</v>
      </c>
      <c r="H15">
        <f t="shared" ref="H15:H17" si="10">($F$23+$F$24*A15)*G3</f>
        <v>34771.598415186207</v>
      </c>
      <c r="I15">
        <f t="shared" si="4"/>
        <v>91.931748519542452</v>
      </c>
      <c r="J15">
        <f t="shared" si="5"/>
        <v>91.931748519542452</v>
      </c>
      <c r="K15">
        <f>SUM($J$2:J15)/A15</f>
        <v>3056.3913972471141</v>
      </c>
      <c r="L15">
        <f t="shared" si="6"/>
        <v>0.26508832799106813</v>
      </c>
      <c r="M15">
        <f>SUM($L$2:L15)/A15</f>
        <v>8.8821467127755778</v>
      </c>
    </row>
    <row r="16" spans="1:13" x14ac:dyDescent="0.3">
      <c r="A16" s="5">
        <v>15</v>
      </c>
      <c r="B16">
        <v>2018</v>
      </c>
      <c r="C16">
        <v>36192</v>
      </c>
      <c r="D16">
        <f t="shared" si="7"/>
        <v>32738.791666666664</v>
      </c>
      <c r="E16">
        <f t="shared" si="0"/>
        <v>30362.718259803922</v>
      </c>
      <c r="F16">
        <f t="shared" si="1"/>
        <v>0.83893452309360972</v>
      </c>
      <c r="H16">
        <f t="shared" si="10"/>
        <v>34707.516492438546</v>
      </c>
      <c r="I16">
        <f t="shared" si="4"/>
        <v>-1484.4835075614537</v>
      </c>
      <c r="J16">
        <f t="shared" si="5"/>
        <v>1484.4835075614537</v>
      </c>
      <c r="K16">
        <f>SUM($J$2:J16)/A16</f>
        <v>2951.5975379347369</v>
      </c>
      <c r="L16">
        <f t="shared" si="6"/>
        <v>4.1016896208041933</v>
      </c>
      <c r="M16">
        <f>SUM($L$2:L16)/A16</f>
        <v>8.5634495733108178</v>
      </c>
    </row>
    <row r="17" spans="1:13" x14ac:dyDescent="0.3">
      <c r="A17" s="5">
        <v>16</v>
      </c>
      <c r="B17">
        <v>2018</v>
      </c>
      <c r="C17">
        <v>30150</v>
      </c>
      <c r="D17">
        <f t="shared" si="7"/>
        <v>29581.416666666664</v>
      </c>
      <c r="E17">
        <f t="shared" si="0"/>
        <v>29732.949632352942</v>
      </c>
      <c r="F17">
        <f t="shared" si="1"/>
        <v>0.98616748366013074</v>
      </c>
      <c r="H17">
        <f t="shared" si="10"/>
        <v>29570.617181167632</v>
      </c>
      <c r="I17">
        <f t="shared" si="4"/>
        <v>-579.38281883236778</v>
      </c>
      <c r="J17">
        <f t="shared" si="5"/>
        <v>579.38281883236778</v>
      </c>
      <c r="K17">
        <f>SUM($J$2:J17)/A17</f>
        <v>2803.3341179908389</v>
      </c>
      <c r="L17">
        <f t="shared" si="6"/>
        <v>1.9216677241537903</v>
      </c>
      <c r="M17">
        <f>SUM($L$2:L17)/A17</f>
        <v>8.1483382077385045</v>
      </c>
    </row>
    <row r="18" spans="1:13" x14ac:dyDescent="0.3">
      <c r="A18" s="5">
        <v>17</v>
      </c>
      <c r="B18">
        <v>2019</v>
      </c>
      <c r="C18">
        <v>24995</v>
      </c>
      <c r="D18">
        <f t="shared" si="7"/>
        <v>24875.708333333336</v>
      </c>
      <c r="E18">
        <f t="shared" si="0"/>
        <v>29103.181004901962</v>
      </c>
      <c r="F18">
        <f t="shared" si="1"/>
        <v>1.1643601122185221</v>
      </c>
      <c r="H18">
        <f>($F$23+$F$24*A18)*G2</f>
        <v>29576.646523578722</v>
      </c>
      <c r="I18">
        <f t="shared" si="4"/>
        <v>4581.6465235787218</v>
      </c>
      <c r="J18">
        <f t="shared" si="5"/>
        <v>4581.6465235787218</v>
      </c>
      <c r="K18">
        <f>SUM($J$2:J18)/A18</f>
        <v>2907.940730084244</v>
      </c>
      <c r="L18">
        <f t="shared" si="6"/>
        <v>18.330252144743834</v>
      </c>
      <c r="M18">
        <f>SUM($L$2:L18)/A18</f>
        <v>8.7472743216799955</v>
      </c>
    </row>
    <row r="19" spans="1:13" x14ac:dyDescent="0.3">
      <c r="A19" s="5">
        <v>18</v>
      </c>
      <c r="B19">
        <v>2019</v>
      </c>
      <c r="C19">
        <v>19297.666666666668</v>
      </c>
      <c r="D19">
        <f t="shared" si="7"/>
        <v>21604.25</v>
      </c>
      <c r="E19">
        <f t="shared" si="0"/>
        <v>28473.412377450979</v>
      </c>
      <c r="F19">
        <f t="shared" si="1"/>
        <v>1.4754847241005464</v>
      </c>
      <c r="H19">
        <f t="shared" ref="H19:H21" si="11">($F$23+$F$24*A19)*G3</f>
        <v>31945.357089297158</v>
      </c>
      <c r="I19">
        <f t="shared" si="4"/>
        <v>12647.690422630491</v>
      </c>
      <c r="J19">
        <f t="shared" si="5"/>
        <v>12647.690422630491</v>
      </c>
      <c r="K19">
        <f>SUM($J$2:J19)/A19</f>
        <v>3449.0379352257023</v>
      </c>
      <c r="L19">
        <f t="shared" si="6"/>
        <v>65.539998389946049</v>
      </c>
      <c r="M19">
        <f>SUM($L$2:L19)/A19</f>
        <v>11.902425658805887</v>
      </c>
    </row>
    <row r="20" spans="1:13" x14ac:dyDescent="0.3">
      <c r="A20" s="5">
        <v>19</v>
      </c>
      <c r="B20">
        <v>2019</v>
      </c>
      <c r="C20">
        <v>13928.333333333334</v>
      </c>
      <c r="E20">
        <f t="shared" si="0"/>
        <v>27843.643750000003</v>
      </c>
      <c r="F20">
        <f t="shared" si="1"/>
        <v>1.9990650053847077</v>
      </c>
      <c r="H20">
        <f t="shared" si="11"/>
        <v>31827.971276934979</v>
      </c>
      <c r="I20">
        <f t="shared" si="4"/>
        <v>17899.637943601643</v>
      </c>
      <c r="J20">
        <f t="shared" si="5"/>
        <v>17899.637943601643</v>
      </c>
      <c r="K20">
        <f>SUM($J$2:J20)/A20</f>
        <v>4209.5958304033829</v>
      </c>
      <c r="L20">
        <f t="shared" si="6"/>
        <v>128.51241792701907</v>
      </c>
      <c r="M20">
        <f>SUM($L$2:L20)/A20</f>
        <v>18.039793672922368</v>
      </c>
    </row>
    <row r="21" spans="1:13" x14ac:dyDescent="0.3">
      <c r="A21" s="5">
        <v>20</v>
      </c>
      <c r="B21">
        <v>2019</v>
      </c>
      <c r="C21">
        <v>26242</v>
      </c>
      <c r="E21">
        <f t="shared" si="0"/>
        <v>27213.87512254902</v>
      </c>
      <c r="F21">
        <f t="shared" si="1"/>
        <v>1.0370351010802918</v>
      </c>
      <c r="H21">
        <f t="shared" si="11"/>
        <v>27065.296017229197</v>
      </c>
      <c r="I21">
        <f t="shared" si="4"/>
        <v>823.29601722919688</v>
      </c>
      <c r="J21">
        <f t="shared" si="5"/>
        <v>823.29601722919688</v>
      </c>
      <c r="K21">
        <f>SUM($J$2:J21)/A21</f>
        <v>4040.2808397446738</v>
      </c>
      <c r="L21">
        <f t="shared" si="6"/>
        <v>3.1373219161237595</v>
      </c>
      <c r="M21" s="7">
        <f>SUM($L$2:L21)/A21</f>
        <v>17.294670085082437</v>
      </c>
    </row>
    <row r="23" spans="1:13" x14ac:dyDescent="0.3">
      <c r="E23" s="5" t="s">
        <v>34</v>
      </c>
      <c r="F23">
        <f>Regression!B17</f>
        <v>39809.247671568628</v>
      </c>
    </row>
    <row r="24" spans="1:13" x14ac:dyDescent="0.3">
      <c r="E24" s="5" t="s">
        <v>35</v>
      </c>
      <c r="F24">
        <f>Regression!B18</f>
        <v>-629.76862745098038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2552-BABC-4F1A-AF4D-F4E811F68664}">
  <dimension ref="A1:I18"/>
  <sheetViews>
    <sheetView workbookViewId="0">
      <selection activeCell="J25" sqref="J25"/>
    </sheetView>
  </sheetViews>
  <sheetFormatPr defaultRowHeight="14.4" x14ac:dyDescent="0.3"/>
  <sheetData>
    <row r="1" spans="1:9" x14ac:dyDescent="0.3">
      <c r="A1" t="s">
        <v>9</v>
      </c>
    </row>
    <row r="2" spans="1:9" ht="15" thickBot="1" x14ac:dyDescent="0.35"/>
    <row r="3" spans="1:9" x14ac:dyDescent="0.3">
      <c r="A3" s="4" t="s">
        <v>10</v>
      </c>
      <c r="B3" s="4"/>
    </row>
    <row r="4" spans="1:9" x14ac:dyDescent="0.3">
      <c r="A4" s="1" t="s">
        <v>11</v>
      </c>
      <c r="B4" s="1">
        <v>0.70129122808045463</v>
      </c>
    </row>
    <row r="5" spans="1:9" x14ac:dyDescent="0.3">
      <c r="A5" s="1" t="s">
        <v>12</v>
      </c>
      <c r="B5" s="1">
        <v>0.49180938658259221</v>
      </c>
    </row>
    <row r="6" spans="1:9" x14ac:dyDescent="0.3">
      <c r="A6" s="1" t="s">
        <v>13</v>
      </c>
      <c r="B6" s="1">
        <v>0.46357657472606956</v>
      </c>
    </row>
    <row r="7" spans="1:9" x14ac:dyDescent="0.3">
      <c r="A7" s="1" t="s">
        <v>14</v>
      </c>
      <c r="B7" s="1">
        <v>4772.33014198214</v>
      </c>
    </row>
    <row r="8" spans="1:9" ht="15" thickBot="1" x14ac:dyDescent="0.35">
      <c r="A8" s="2" t="s">
        <v>15</v>
      </c>
      <c r="B8" s="2">
        <v>20</v>
      </c>
    </row>
    <row r="10" spans="1:9" ht="15" thickBot="1" x14ac:dyDescent="0.35">
      <c r="A10" t="s">
        <v>16</v>
      </c>
    </row>
    <row r="11" spans="1:9" x14ac:dyDescent="0.3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9" x14ac:dyDescent="0.3">
      <c r="A12" s="1" t="s">
        <v>17</v>
      </c>
      <c r="B12" s="1">
        <v>1</v>
      </c>
      <c r="C12" s="1">
        <v>396737853.20338351</v>
      </c>
      <c r="D12" s="1">
        <v>396737853.20338351</v>
      </c>
      <c r="E12" s="1">
        <v>17.419780540526251</v>
      </c>
      <c r="F12" s="1">
        <v>5.7060630044857008E-4</v>
      </c>
    </row>
    <row r="13" spans="1:9" x14ac:dyDescent="0.3">
      <c r="A13" s="1" t="s">
        <v>18</v>
      </c>
      <c r="B13" s="1">
        <v>18</v>
      </c>
      <c r="C13" s="1">
        <v>409952429.713283</v>
      </c>
      <c r="D13" s="1">
        <v>22775134.984071277</v>
      </c>
      <c r="E13" s="1"/>
      <c r="F13" s="1"/>
    </row>
    <row r="14" spans="1:9" ht="15" thickBot="1" x14ac:dyDescent="0.35">
      <c r="A14" s="2" t="s">
        <v>19</v>
      </c>
      <c r="B14" s="2">
        <v>19</v>
      </c>
      <c r="C14" s="2">
        <v>806690282.91666651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 x14ac:dyDescent="0.3">
      <c r="A17" s="1" t="s">
        <v>20</v>
      </c>
      <c r="B17" s="1">
        <v>40475.426315789475</v>
      </c>
      <c r="C17" s="1">
        <v>2216.8974697309732</v>
      </c>
      <c r="D17" s="1">
        <v>18.257689797761049</v>
      </c>
      <c r="E17" s="1">
        <v>4.6174009444634134E-13</v>
      </c>
      <c r="F17" s="1">
        <v>35817.897560677084</v>
      </c>
      <c r="G17" s="1">
        <v>45132.955070901866</v>
      </c>
      <c r="H17" s="1">
        <v>35817.897560677084</v>
      </c>
      <c r="I17" s="1">
        <v>45132.955070901866</v>
      </c>
    </row>
    <row r="18" spans="1:9" ht="15" thickBot="1" x14ac:dyDescent="0.35">
      <c r="A18" s="2" t="s">
        <v>33</v>
      </c>
      <c r="B18" s="2">
        <v>-772.39774436090204</v>
      </c>
      <c r="C18" s="2">
        <v>185.06302516796194</v>
      </c>
      <c r="D18" s="2">
        <v>-4.173701060273272</v>
      </c>
      <c r="E18" s="2">
        <v>5.7060630044857257E-4</v>
      </c>
      <c r="F18" s="2">
        <v>-1161.2007327699553</v>
      </c>
      <c r="G18" s="2">
        <v>-383.59475595184892</v>
      </c>
      <c r="H18" s="2">
        <v>-1161.2007327699553</v>
      </c>
      <c r="I18" s="2">
        <v>-383.59475595184892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BEE7-B6D9-41EE-BB40-234ABEE9BF65}">
  <dimension ref="A1:K25"/>
  <sheetViews>
    <sheetView workbookViewId="0">
      <selection activeCell="N18" sqref="N18"/>
    </sheetView>
  </sheetViews>
  <sheetFormatPr defaultRowHeight="14.4" x14ac:dyDescent="0.3"/>
  <sheetData>
    <row r="1" spans="1:11" x14ac:dyDescent="0.3">
      <c r="A1" s="8" t="s">
        <v>0</v>
      </c>
      <c r="B1" s="6" t="s">
        <v>1</v>
      </c>
      <c r="C1" s="6" t="s">
        <v>5</v>
      </c>
      <c r="D1" s="6" t="s">
        <v>2</v>
      </c>
      <c r="E1" s="6" t="s">
        <v>38</v>
      </c>
      <c r="F1" s="6" t="s">
        <v>3</v>
      </c>
      <c r="G1" s="6" t="s">
        <v>4</v>
      </c>
      <c r="H1" s="6" t="s">
        <v>42</v>
      </c>
      <c r="I1" s="6" t="s">
        <v>43</v>
      </c>
      <c r="J1" s="6" t="s">
        <v>44</v>
      </c>
      <c r="K1" s="6" t="s">
        <v>45</v>
      </c>
    </row>
    <row r="2" spans="1:11" x14ac:dyDescent="0.3">
      <c r="A2" s="9"/>
      <c r="D2">
        <f>Regression2!B17</f>
        <v>40475.426315789475</v>
      </c>
      <c r="E2">
        <f>Regression2!B18</f>
        <v>-772.39774436090204</v>
      </c>
    </row>
    <row r="3" spans="1:11" x14ac:dyDescent="0.3">
      <c r="A3" s="9">
        <v>1</v>
      </c>
      <c r="B3">
        <v>2015</v>
      </c>
      <c r="C3">
        <v>38632.333333333336</v>
      </c>
      <c r="D3">
        <f>$E$24*C3+(1-$E$24)*(D2+E2)</f>
        <v>39595.95904761905</v>
      </c>
      <c r="E3">
        <f>$E$25*(D3-D2)+(1-$E$25)*E2</f>
        <v>-793.81164912280678</v>
      </c>
      <c r="F3">
        <f>D3+E3</f>
        <v>38802.147398496243</v>
      </c>
      <c r="G3">
        <f>F3-C3</f>
        <v>169.81406516290735</v>
      </c>
      <c r="H3">
        <f>ABS(G3)</f>
        <v>169.81406516290735</v>
      </c>
      <c r="I3">
        <f>SUM($H$3:H3)/A3</f>
        <v>169.81406516290735</v>
      </c>
      <c r="J3">
        <f>(H3/C3)*100</f>
        <v>0.43956460951424281</v>
      </c>
      <c r="K3">
        <f>SUM($J$3:J3)/A3</f>
        <v>0.43956460951424281</v>
      </c>
    </row>
    <row r="4" spans="1:11" x14ac:dyDescent="0.3">
      <c r="A4" s="9">
        <v>2</v>
      </c>
      <c r="B4">
        <v>2015</v>
      </c>
      <c r="C4">
        <v>34933.666666666664</v>
      </c>
      <c r="D4">
        <f t="shared" ref="D4:D22" si="0">$E$24*C4+(1-$E$24)*(D3+E3)</f>
        <v>38415.299325313288</v>
      </c>
      <c r="E4">
        <f t="shared" ref="E4:E22" si="1">$E$25*(D4-D3)+(1-$E$25)*E3</f>
        <v>-871.18126375939778</v>
      </c>
      <c r="F4">
        <f t="shared" ref="F4:F22" si="2">D4+E4</f>
        <v>37544.118061553891</v>
      </c>
      <c r="G4">
        <f t="shared" ref="G4:G22" si="3">F4-C4</f>
        <v>2610.4513948872263</v>
      </c>
      <c r="H4">
        <f t="shared" ref="H4:H22" si="4">ABS(G4)</f>
        <v>2610.4513948872263</v>
      </c>
      <c r="I4">
        <f>SUM($H$3:H4)/A4</f>
        <v>1390.1327300250668</v>
      </c>
      <c r="J4">
        <f t="shared" ref="J4:J22" si="5">(H4/C4)*100</f>
        <v>7.4725949033517622</v>
      </c>
      <c r="K4">
        <f>SUM($J$3:J4)/A4</f>
        <v>3.9560797564330024</v>
      </c>
    </row>
    <row r="5" spans="1:11" x14ac:dyDescent="0.3">
      <c r="A5" s="9">
        <v>3</v>
      </c>
      <c r="B5">
        <v>2015</v>
      </c>
      <c r="C5">
        <v>36995.666666666664</v>
      </c>
      <c r="D5">
        <f t="shared" si="0"/>
        <v>37489.272922065167</v>
      </c>
      <c r="E5">
        <f t="shared" si="1"/>
        <v>-882.15029165714247</v>
      </c>
      <c r="F5">
        <f t="shared" si="2"/>
        <v>36607.122630408026</v>
      </c>
      <c r="G5">
        <f t="shared" si="3"/>
        <v>-388.54403625863779</v>
      </c>
      <c r="H5">
        <f t="shared" si="4"/>
        <v>388.54403625863779</v>
      </c>
      <c r="I5">
        <f>SUM($H$3:H5)/A5</f>
        <v>1056.2698321029238</v>
      </c>
      <c r="J5">
        <f t="shared" si="5"/>
        <v>1.0502420182326879</v>
      </c>
      <c r="K5">
        <f>SUM($J$3:J5)/A5</f>
        <v>2.9874671770328973</v>
      </c>
    </row>
    <row r="6" spans="1:11" x14ac:dyDescent="0.3">
      <c r="A6" s="9">
        <v>4</v>
      </c>
      <c r="B6">
        <v>2015</v>
      </c>
      <c r="C6">
        <v>36960</v>
      </c>
      <c r="D6">
        <f t="shared" si="0"/>
        <v>36642.410367367222</v>
      </c>
      <c r="E6">
        <f t="shared" si="1"/>
        <v>-875.09274426530317</v>
      </c>
      <c r="F6">
        <f t="shared" si="2"/>
        <v>35767.317623101917</v>
      </c>
      <c r="G6">
        <f t="shared" si="3"/>
        <v>-1192.682376898083</v>
      </c>
      <c r="H6">
        <f t="shared" si="4"/>
        <v>1192.682376898083</v>
      </c>
      <c r="I6">
        <f>SUM($H$3:H6)/A6</f>
        <v>1090.3729683017136</v>
      </c>
      <c r="J6">
        <f t="shared" si="5"/>
        <v>3.2269544829493588</v>
      </c>
      <c r="K6">
        <f>SUM($J$3:J6)/A6</f>
        <v>3.0473390035120129</v>
      </c>
    </row>
    <row r="7" spans="1:11" x14ac:dyDescent="0.3">
      <c r="A7" s="9">
        <v>5</v>
      </c>
      <c r="B7">
        <v>2016</v>
      </c>
      <c r="C7">
        <v>35442</v>
      </c>
      <c r="D7">
        <f t="shared" si="0"/>
        <v>35734.785860791722</v>
      </c>
      <c r="E7">
        <f t="shared" si="1"/>
        <v>-881.5990967273425</v>
      </c>
      <c r="F7">
        <f t="shared" si="2"/>
        <v>34853.186764064383</v>
      </c>
      <c r="G7">
        <f t="shared" si="3"/>
        <v>-588.81323593561683</v>
      </c>
      <c r="H7">
        <f t="shared" si="4"/>
        <v>588.81323593561683</v>
      </c>
      <c r="I7">
        <f>SUM($H$3:H7)/A7</f>
        <v>990.06102182849429</v>
      </c>
      <c r="J7">
        <f t="shared" si="5"/>
        <v>1.6613431407246118</v>
      </c>
      <c r="K7">
        <f>SUM($J$3:J7)/A7</f>
        <v>2.7701398309545326</v>
      </c>
    </row>
    <row r="8" spans="1:11" x14ac:dyDescent="0.3">
      <c r="A8" s="9">
        <v>6</v>
      </c>
      <c r="B8">
        <v>2016</v>
      </c>
      <c r="C8">
        <v>30907.666666666668</v>
      </c>
      <c r="D8">
        <f t="shared" si="0"/>
        <v>34458.634754324616</v>
      </c>
      <c r="E8">
        <f t="shared" si="1"/>
        <v>-960.50949867529539</v>
      </c>
      <c r="F8">
        <f t="shared" si="2"/>
        <v>33498.12525564932</v>
      </c>
      <c r="G8">
        <f t="shared" si="3"/>
        <v>2590.4585889826521</v>
      </c>
      <c r="H8">
        <f t="shared" si="4"/>
        <v>2590.4585889826521</v>
      </c>
      <c r="I8">
        <f>SUM($H$3:H8)/A8</f>
        <v>1256.7939496875206</v>
      </c>
      <c r="J8">
        <f t="shared" si="5"/>
        <v>8.3812816312543337</v>
      </c>
      <c r="K8">
        <f>SUM($J$3:J8)/A8</f>
        <v>3.7053301310044993</v>
      </c>
    </row>
    <row r="9" spans="1:11" x14ac:dyDescent="0.3">
      <c r="A9" s="9">
        <v>7</v>
      </c>
      <c r="B9">
        <v>2016</v>
      </c>
      <c r="C9">
        <v>35270.5</v>
      </c>
      <c r="D9">
        <f t="shared" si="0"/>
        <v>33675.362730084387</v>
      </c>
      <c r="E9">
        <f t="shared" si="1"/>
        <v>-925.06200378828203</v>
      </c>
      <c r="F9">
        <f t="shared" si="2"/>
        <v>32750.300726296104</v>
      </c>
      <c r="G9">
        <f t="shared" si="3"/>
        <v>-2520.1992737038963</v>
      </c>
      <c r="H9">
        <f t="shared" si="4"/>
        <v>2520.1992737038963</v>
      </c>
      <c r="I9">
        <f>SUM($H$3:H9)/A9</f>
        <v>1437.2804245470029</v>
      </c>
      <c r="J9">
        <f t="shared" si="5"/>
        <v>7.1453460362169414</v>
      </c>
      <c r="K9">
        <f>SUM($J$3:J9)/A9</f>
        <v>4.1967609746062768</v>
      </c>
    </row>
    <row r="10" spans="1:11" x14ac:dyDescent="0.3">
      <c r="A10" s="9">
        <v>8</v>
      </c>
      <c r="B10">
        <v>2016</v>
      </c>
      <c r="C10">
        <v>34780.666666666664</v>
      </c>
      <c r="D10">
        <f t="shared" si="0"/>
        <v>32953.337320333165</v>
      </c>
      <c r="E10">
        <f t="shared" si="1"/>
        <v>-884.45468498087018</v>
      </c>
      <c r="F10">
        <f t="shared" si="2"/>
        <v>32068.882635352296</v>
      </c>
      <c r="G10">
        <f t="shared" si="3"/>
        <v>-2711.7840313143679</v>
      </c>
      <c r="H10">
        <f t="shared" si="4"/>
        <v>2711.7840313143679</v>
      </c>
      <c r="I10">
        <f>SUM($H$3:H10)/A10</f>
        <v>1596.5933753929235</v>
      </c>
      <c r="J10">
        <f t="shared" si="5"/>
        <v>7.796814412166821</v>
      </c>
      <c r="K10">
        <f>SUM($J$3:J10)/A10</f>
        <v>4.6467676543013443</v>
      </c>
    </row>
    <row r="11" spans="1:11" x14ac:dyDescent="0.3">
      <c r="A11" s="9">
        <v>9</v>
      </c>
      <c r="B11">
        <v>2017</v>
      </c>
      <c r="C11">
        <v>35503.5</v>
      </c>
      <c r="D11">
        <f t="shared" si="0"/>
        <v>32412.344371817067</v>
      </c>
      <c r="E11">
        <f t="shared" si="1"/>
        <v>-815.76233768791565</v>
      </c>
      <c r="F11">
        <f t="shared" si="2"/>
        <v>31596.582034129151</v>
      </c>
      <c r="G11">
        <f t="shared" si="3"/>
        <v>-3906.917965870849</v>
      </c>
      <c r="H11">
        <f t="shared" si="4"/>
        <v>3906.917965870849</v>
      </c>
      <c r="I11">
        <f>SUM($H$3:H11)/A11</f>
        <v>1853.2961076682486</v>
      </c>
      <c r="J11">
        <f t="shared" si="5"/>
        <v>11.004317788023291</v>
      </c>
      <c r="K11">
        <f>SUM($J$3:J11)/A11</f>
        <v>5.3531621136037835</v>
      </c>
    </row>
    <row r="12" spans="1:11" x14ac:dyDescent="0.3">
      <c r="A12" s="9">
        <v>10</v>
      </c>
      <c r="B12">
        <v>2017</v>
      </c>
      <c r="C12">
        <v>34503.333333333336</v>
      </c>
      <c r="D12">
        <f t="shared" si="0"/>
        <v>31887.257164049573</v>
      </c>
      <c r="E12">
        <f t="shared" si="1"/>
        <v>-757.62731170383131</v>
      </c>
      <c r="F12">
        <f t="shared" si="2"/>
        <v>31129.629852345741</v>
      </c>
      <c r="G12">
        <f t="shared" si="3"/>
        <v>-3373.703480987595</v>
      </c>
      <c r="H12">
        <f t="shared" si="4"/>
        <v>3373.703480987595</v>
      </c>
      <c r="I12">
        <f>SUM($H$3:H12)/A12</f>
        <v>2005.3368450001831</v>
      </c>
      <c r="J12">
        <f t="shared" si="5"/>
        <v>9.7779059443172489</v>
      </c>
      <c r="K12">
        <f>SUM($J$3:J12)/A12</f>
        <v>5.7956364966751295</v>
      </c>
    </row>
    <row r="13" spans="1:11" x14ac:dyDescent="0.3">
      <c r="A13" s="9">
        <v>11</v>
      </c>
      <c r="B13">
        <v>2017</v>
      </c>
      <c r="C13">
        <v>38739</v>
      </c>
      <c r="D13">
        <f t="shared" si="0"/>
        <v>31890.566867111167</v>
      </c>
      <c r="E13">
        <f t="shared" si="1"/>
        <v>-605.43990875074633</v>
      </c>
      <c r="F13">
        <f t="shared" si="2"/>
        <v>31285.126958360423</v>
      </c>
      <c r="G13">
        <f t="shared" si="3"/>
        <v>-7453.8730416395774</v>
      </c>
      <c r="H13">
        <f t="shared" si="4"/>
        <v>7453.8730416395774</v>
      </c>
      <c r="I13">
        <f>SUM($H$3:H13)/A13</f>
        <v>2500.6583174219463</v>
      </c>
      <c r="J13">
        <f t="shared" si="5"/>
        <v>19.241263433851099</v>
      </c>
      <c r="K13">
        <f>SUM($J$3:J13)/A13</f>
        <v>7.0179662182365812</v>
      </c>
    </row>
    <row r="14" spans="1:11" x14ac:dyDescent="0.3">
      <c r="A14" s="9">
        <v>12</v>
      </c>
      <c r="B14">
        <v>2017</v>
      </c>
      <c r="C14">
        <v>34280</v>
      </c>
      <c r="D14">
        <f t="shared" si="0"/>
        <v>31584.614262524381</v>
      </c>
      <c r="E14">
        <f t="shared" si="1"/>
        <v>-545.54244791795429</v>
      </c>
      <c r="F14">
        <f t="shared" si="2"/>
        <v>31039.071814606428</v>
      </c>
      <c r="G14">
        <f t="shared" si="3"/>
        <v>-3240.9281853935718</v>
      </c>
      <c r="H14">
        <f t="shared" si="4"/>
        <v>3240.9281853935718</v>
      </c>
      <c r="I14">
        <f>SUM($H$3:H14)/A14</f>
        <v>2562.3474730862486</v>
      </c>
      <c r="J14">
        <f t="shared" si="5"/>
        <v>9.4542829212181214</v>
      </c>
      <c r="K14">
        <f>SUM($J$3:J14)/A14</f>
        <v>7.2209926101517103</v>
      </c>
    </row>
    <row r="15" spans="1:11" x14ac:dyDescent="0.3">
      <c r="A15" s="9">
        <v>13</v>
      </c>
      <c r="B15">
        <v>2018</v>
      </c>
      <c r="C15">
        <v>34872</v>
      </c>
      <c r="D15">
        <f t="shared" si="0"/>
        <v>31422.364633145786</v>
      </c>
      <c r="E15">
        <f t="shared" si="1"/>
        <v>-468.8838842100825</v>
      </c>
      <c r="F15">
        <f t="shared" si="2"/>
        <v>30953.480748935704</v>
      </c>
      <c r="G15">
        <f t="shared" si="3"/>
        <v>-3918.5192510642955</v>
      </c>
      <c r="H15">
        <f t="shared" si="4"/>
        <v>3918.5192510642955</v>
      </c>
      <c r="I15">
        <f>SUM($H$3:H15)/A15</f>
        <v>2666.6683790845595</v>
      </c>
      <c r="J15">
        <f t="shared" si="5"/>
        <v>11.236864106057283</v>
      </c>
      <c r="K15">
        <f>SUM($J$3:J15)/A15</f>
        <v>7.5299058021444463</v>
      </c>
    </row>
    <row r="16" spans="1:11" x14ac:dyDescent="0.3">
      <c r="A16" s="9">
        <v>14</v>
      </c>
      <c r="B16">
        <v>2018</v>
      </c>
      <c r="C16">
        <v>34679.666666666664</v>
      </c>
      <c r="D16">
        <f t="shared" si="0"/>
        <v>31326.099340708803</v>
      </c>
      <c r="E16">
        <f t="shared" si="1"/>
        <v>-394.36016585546264</v>
      </c>
      <c r="F16">
        <f t="shared" si="2"/>
        <v>30931.739174853341</v>
      </c>
      <c r="G16">
        <f t="shared" si="3"/>
        <v>-3747.9274918133233</v>
      </c>
      <c r="H16">
        <f t="shared" si="4"/>
        <v>3747.9274918133233</v>
      </c>
      <c r="I16">
        <f>SUM($H$3:H16)/A16</f>
        <v>2743.9011728508999</v>
      </c>
      <c r="J16">
        <f t="shared" si="5"/>
        <v>10.807276574592192</v>
      </c>
      <c r="K16">
        <f>SUM($J$3:J16)/A16</f>
        <v>7.7640037144621425</v>
      </c>
    </row>
    <row r="17" spans="1:11" x14ac:dyDescent="0.3">
      <c r="A17" s="9">
        <v>15</v>
      </c>
      <c r="B17">
        <v>2018</v>
      </c>
      <c r="C17">
        <v>36192</v>
      </c>
      <c r="D17">
        <f t="shared" si="0"/>
        <v>31457.76525736801</v>
      </c>
      <c r="E17">
        <f t="shared" si="1"/>
        <v>-289.15494935252872</v>
      </c>
      <c r="F17">
        <f t="shared" si="2"/>
        <v>31168.610308015483</v>
      </c>
      <c r="G17">
        <f t="shared" si="3"/>
        <v>-5023.3896919845174</v>
      </c>
      <c r="H17">
        <f t="shared" si="4"/>
        <v>5023.3896919845174</v>
      </c>
      <c r="I17">
        <f>SUM($H$3:H17)/A17</f>
        <v>2895.8670741264746</v>
      </c>
      <c r="J17">
        <f t="shared" si="5"/>
        <v>13.879834471663678</v>
      </c>
      <c r="K17">
        <f>SUM($J$3:J17)/A17</f>
        <v>8.171725764942245</v>
      </c>
    </row>
    <row r="18" spans="1:11" x14ac:dyDescent="0.3">
      <c r="A18" s="9">
        <v>16</v>
      </c>
      <c r="B18">
        <v>2018</v>
      </c>
      <c r="C18">
        <v>30150</v>
      </c>
      <c r="D18">
        <f t="shared" si="0"/>
        <v>31066.749277213934</v>
      </c>
      <c r="E18">
        <f t="shared" si="1"/>
        <v>-309.52715551283814</v>
      </c>
      <c r="F18">
        <f t="shared" si="2"/>
        <v>30757.222121701096</v>
      </c>
      <c r="G18">
        <f t="shared" si="3"/>
        <v>607.2221217010956</v>
      </c>
      <c r="H18">
        <f t="shared" si="4"/>
        <v>607.2221217010956</v>
      </c>
      <c r="I18">
        <f>SUM($H$3:H18)/A18</f>
        <v>2752.8267645998885</v>
      </c>
      <c r="J18">
        <f t="shared" si="5"/>
        <v>2.0140037204016439</v>
      </c>
      <c r="K18">
        <f>SUM($J$3:J18)/A18</f>
        <v>7.786868137158458</v>
      </c>
    </row>
    <row r="19" spans="1:11" x14ac:dyDescent="0.3">
      <c r="A19" s="9">
        <v>17</v>
      </c>
      <c r="B19">
        <v>2019</v>
      </c>
      <c r="C19">
        <v>24995</v>
      </c>
      <c r="D19">
        <f t="shared" si="0"/>
        <v>30180.999909530987</v>
      </c>
      <c r="E19">
        <f t="shared" si="1"/>
        <v>-424.77159794685997</v>
      </c>
      <c r="F19">
        <f t="shared" si="2"/>
        <v>29756.228311584127</v>
      </c>
      <c r="G19">
        <f t="shared" si="3"/>
        <v>4761.2283115841274</v>
      </c>
      <c r="H19">
        <f t="shared" si="4"/>
        <v>4761.2283115841274</v>
      </c>
      <c r="I19">
        <f>SUM($H$3:H19)/A19</f>
        <v>2870.9680320695497</v>
      </c>
      <c r="J19">
        <f t="shared" si="5"/>
        <v>19.048722990934696</v>
      </c>
      <c r="K19">
        <f>SUM($J$3:J19)/A19</f>
        <v>8.4493301873805908</v>
      </c>
    </row>
    <row r="20" spans="1:11" x14ac:dyDescent="0.3">
      <c r="A20" s="9">
        <v>18</v>
      </c>
      <c r="B20">
        <v>2019</v>
      </c>
      <c r="C20">
        <v>19297.666666666668</v>
      </c>
      <c r="D20">
        <f t="shared" si="0"/>
        <v>28710.372147092381</v>
      </c>
      <c r="E20">
        <f t="shared" si="1"/>
        <v>-633.94283084520919</v>
      </c>
      <c r="F20">
        <f t="shared" si="2"/>
        <v>28076.429316247173</v>
      </c>
      <c r="G20">
        <f t="shared" si="3"/>
        <v>8778.7626495805052</v>
      </c>
      <c r="H20">
        <f t="shared" si="4"/>
        <v>8778.7626495805052</v>
      </c>
      <c r="I20">
        <f>SUM($H$3:H20)/A20</f>
        <v>3199.1788441534914</v>
      </c>
      <c r="J20">
        <f t="shared" si="5"/>
        <v>45.49131665096214</v>
      </c>
      <c r="K20">
        <f>SUM($J$3:J20)/A20</f>
        <v>10.507218324246232</v>
      </c>
    </row>
    <row r="21" spans="1:11" x14ac:dyDescent="0.3">
      <c r="A21" s="9">
        <v>19</v>
      </c>
      <c r="B21">
        <v>2019</v>
      </c>
      <c r="C21">
        <v>13928.333333333334</v>
      </c>
      <c r="D21">
        <f t="shared" si="0"/>
        <v>26661.619717955789</v>
      </c>
      <c r="E21">
        <f t="shared" si="1"/>
        <v>-916.90475050348573</v>
      </c>
      <c r="F21">
        <f t="shared" si="2"/>
        <v>25744.714967452303</v>
      </c>
      <c r="G21">
        <f t="shared" si="3"/>
        <v>11816.381634118969</v>
      </c>
      <c r="H21">
        <f t="shared" si="4"/>
        <v>11816.381634118969</v>
      </c>
      <c r="I21">
        <f>SUM($H$3:H21)/A21</f>
        <v>3652.7158330990428</v>
      </c>
      <c r="J21">
        <f t="shared" si="5"/>
        <v>84.837010655395247</v>
      </c>
      <c r="K21">
        <f>SUM($J$3:J21)/A21</f>
        <v>14.419312657464602</v>
      </c>
    </row>
    <row r="22" spans="1:11" x14ac:dyDescent="0.3">
      <c r="A22" s="9">
        <v>20</v>
      </c>
      <c r="B22">
        <v>2019</v>
      </c>
      <c r="C22">
        <v>26242</v>
      </c>
      <c r="D22">
        <f t="shared" si="0"/>
        <v>25794.443470707072</v>
      </c>
      <c r="E22">
        <f t="shared" si="1"/>
        <v>-906.95904985253208</v>
      </c>
      <c r="F22">
        <f t="shared" si="2"/>
        <v>24887.48442085454</v>
      </c>
      <c r="G22">
        <f t="shared" si="3"/>
        <v>-1354.5155791454599</v>
      </c>
      <c r="H22">
        <f t="shared" si="4"/>
        <v>1354.5155791454599</v>
      </c>
      <c r="I22">
        <f>SUM($H$3:H22)/A22</f>
        <v>3537.8058204013637</v>
      </c>
      <c r="J22">
        <f t="shared" si="5"/>
        <v>5.1616324180529682</v>
      </c>
      <c r="K22" s="7">
        <f>SUM($J$3:J22)/A22</f>
        <v>13.95642864549402</v>
      </c>
    </row>
    <row r="24" spans="1:11" x14ac:dyDescent="0.3">
      <c r="D24" s="5" t="s">
        <v>6</v>
      </c>
      <c r="E24">
        <v>0.1</v>
      </c>
    </row>
    <row r="25" spans="1:11" x14ac:dyDescent="0.3">
      <c r="D25" s="5" t="s">
        <v>39</v>
      </c>
      <c r="E25">
        <v>0.2</v>
      </c>
    </row>
  </sheetData>
  <scenarios current="0">
    <scenario name="optimized" count="2" user="Pranav Nair" comment="Created by Pranav Nair on 11/28/2020">
      <inputCells r="E24" val="0.862575901131336"/>
      <inputCells r="E25" val="0"/>
    </scenario>
  </scenario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286C1-7487-4F95-BAEB-6B2A5A5E8D8F}">
  <dimension ref="A1:I18"/>
  <sheetViews>
    <sheetView workbookViewId="0">
      <selection sqref="A1:I21"/>
    </sheetView>
  </sheetViews>
  <sheetFormatPr defaultRowHeight="14.4" x14ac:dyDescent="0.3"/>
  <sheetData>
    <row r="1" spans="1:9" x14ac:dyDescent="0.3">
      <c r="A1" t="s">
        <v>9</v>
      </c>
    </row>
    <row r="2" spans="1:9" ht="15" thickBot="1" x14ac:dyDescent="0.35"/>
    <row r="3" spans="1:9" x14ac:dyDescent="0.3">
      <c r="A3" s="4" t="s">
        <v>10</v>
      </c>
      <c r="B3" s="4"/>
    </row>
    <row r="4" spans="1:9" x14ac:dyDescent="0.3">
      <c r="A4" s="1" t="s">
        <v>11</v>
      </c>
      <c r="B4" s="1">
        <v>0.70618213446268718</v>
      </c>
    </row>
    <row r="5" spans="1:9" x14ac:dyDescent="0.3">
      <c r="A5" s="1" t="s">
        <v>12</v>
      </c>
      <c r="B5" s="1">
        <v>0.49869320703427683</v>
      </c>
    </row>
    <row r="6" spans="1:9" x14ac:dyDescent="0.3">
      <c r="A6" s="1" t="s">
        <v>13</v>
      </c>
      <c r="B6" s="1">
        <v>0.46288557896529658</v>
      </c>
    </row>
    <row r="7" spans="1:9" x14ac:dyDescent="0.3">
      <c r="A7" s="1" t="s">
        <v>14</v>
      </c>
      <c r="B7" s="1">
        <v>3111.655659127156</v>
      </c>
    </row>
    <row r="8" spans="1:9" ht="15" thickBot="1" x14ac:dyDescent="0.35">
      <c r="A8" s="2" t="s">
        <v>15</v>
      </c>
      <c r="B8" s="2">
        <v>16</v>
      </c>
    </row>
    <row r="10" spans="1:9" ht="15" thickBot="1" x14ac:dyDescent="0.35">
      <c r="A10" t="s">
        <v>16</v>
      </c>
    </row>
    <row r="11" spans="1:9" x14ac:dyDescent="0.3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9" x14ac:dyDescent="0.3">
      <c r="A12" s="1" t="s">
        <v>17</v>
      </c>
      <c r="B12" s="1">
        <v>1</v>
      </c>
      <c r="C12" s="1">
        <v>134846898.20130721</v>
      </c>
      <c r="D12" s="1">
        <v>134846898.20130721</v>
      </c>
      <c r="E12" s="1">
        <v>13.927010358619359</v>
      </c>
      <c r="F12" s="1">
        <v>2.2319117457209586E-3</v>
      </c>
    </row>
    <row r="13" spans="1:9" x14ac:dyDescent="0.3">
      <c r="A13" s="1" t="s">
        <v>18</v>
      </c>
      <c r="B13" s="1">
        <v>14</v>
      </c>
      <c r="C13" s="1">
        <v>135553613.17369279</v>
      </c>
      <c r="D13" s="1">
        <v>9682400.9409780558</v>
      </c>
      <c r="E13" s="1"/>
      <c r="F13" s="1"/>
    </row>
    <row r="14" spans="1:9" ht="15" thickBot="1" x14ac:dyDescent="0.35">
      <c r="A14" s="2" t="s">
        <v>19</v>
      </c>
      <c r="B14" s="2">
        <v>15</v>
      </c>
      <c r="C14" s="2">
        <v>270400511.375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 x14ac:dyDescent="0.3">
      <c r="A17" s="1" t="s">
        <v>20</v>
      </c>
      <c r="B17" s="1">
        <v>39809.247671568628</v>
      </c>
      <c r="C17" s="1">
        <v>1935.1514029068617</v>
      </c>
      <c r="D17" s="1">
        <v>20.57164499468605</v>
      </c>
      <c r="E17" s="1">
        <v>7.3364765371626035E-12</v>
      </c>
      <c r="F17" s="1">
        <v>35658.760703508524</v>
      </c>
      <c r="G17" s="1">
        <v>43959.734639628732</v>
      </c>
      <c r="H17" s="1">
        <v>35658.760703508524</v>
      </c>
      <c r="I17" s="1">
        <v>43959.734639628732</v>
      </c>
    </row>
    <row r="18" spans="1:9" ht="15" thickBot="1" x14ac:dyDescent="0.35">
      <c r="A18" s="2" t="s">
        <v>33</v>
      </c>
      <c r="B18" s="2">
        <v>-629.76862745098038</v>
      </c>
      <c r="C18" s="2">
        <v>168.75322167711658</v>
      </c>
      <c r="D18" s="2">
        <v>-3.7318909896484587</v>
      </c>
      <c r="E18" s="2">
        <v>2.2319117457209586E-3</v>
      </c>
      <c r="F18" s="2">
        <v>-991.70829084730235</v>
      </c>
      <c r="G18" s="2">
        <v>-267.82896405465846</v>
      </c>
      <c r="H18" s="2">
        <v>-991.70829084730235</v>
      </c>
      <c r="I18" s="2">
        <v>-267.82896405465846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2D3B-71C5-4FE7-BB61-2355633AE74F}">
  <dimension ref="A1:M27"/>
  <sheetViews>
    <sheetView tabSelected="1" workbookViewId="0">
      <selection activeCell="O18" sqref="O18"/>
    </sheetView>
  </sheetViews>
  <sheetFormatPr defaultRowHeight="14.4" x14ac:dyDescent="0.3"/>
  <cols>
    <col min="4" max="4" width="16.33203125" customWidth="1"/>
    <col min="7" max="7" width="10.44140625" customWidth="1"/>
  </cols>
  <sheetData>
    <row r="1" spans="1:13" ht="14.4" customHeight="1" x14ac:dyDescent="0.3">
      <c r="A1" s="8" t="s">
        <v>0</v>
      </c>
      <c r="B1" s="6" t="s">
        <v>1</v>
      </c>
      <c r="C1" s="6" t="s">
        <v>5</v>
      </c>
      <c r="D1" s="11" t="s">
        <v>7</v>
      </c>
      <c r="E1" s="6" t="s">
        <v>2</v>
      </c>
      <c r="F1" s="6" t="s">
        <v>38</v>
      </c>
      <c r="G1" s="6" t="s">
        <v>41</v>
      </c>
      <c r="H1" s="6" t="s">
        <v>3</v>
      </c>
      <c r="I1" s="6" t="s">
        <v>4</v>
      </c>
      <c r="J1" s="6" t="s">
        <v>42</v>
      </c>
      <c r="K1" s="6" t="s">
        <v>43</v>
      </c>
      <c r="L1" s="6" t="s">
        <v>44</v>
      </c>
      <c r="M1" s="6" t="s">
        <v>45</v>
      </c>
    </row>
    <row r="2" spans="1:13" x14ac:dyDescent="0.3">
      <c r="A2" s="12"/>
      <c r="D2" s="10"/>
      <c r="E2">
        <f>Regression3!B17</f>
        <v>39809.247671568628</v>
      </c>
      <c r="F2">
        <f>Regression3!B18</f>
        <v>-629.76862745098038</v>
      </c>
    </row>
    <row r="3" spans="1:13" x14ac:dyDescent="0.3">
      <c r="A3" s="9">
        <v>1</v>
      </c>
      <c r="B3">
        <v>2015</v>
      </c>
      <c r="C3">
        <v>38632.333333333336</v>
      </c>
      <c r="E3">
        <f t="shared" ref="E3:E22" si="0">ALPHA*(C3/G3)+(1-ALPHA)*(E2+F2)</f>
        <v>39062.921499310673</v>
      </c>
      <c r="F3">
        <f t="shared" ref="F3:F22" si="1">BETA*(E3-E2)+(1-BETA)*F2</f>
        <v>-653.0801364123754</v>
      </c>
      <c r="G3">
        <v>1.0162685143798202</v>
      </c>
      <c r="H3">
        <f>(E3+F3)*G3</f>
        <v>39034.712419437223</v>
      </c>
      <c r="I3">
        <f>H3-C3</f>
        <v>402.37908610388695</v>
      </c>
      <c r="J3">
        <f>ABS(I3)</f>
        <v>402.37908610388695</v>
      </c>
      <c r="K3">
        <f>SUM($J$3:J3)/A3</f>
        <v>402.37908610388695</v>
      </c>
      <c r="L3">
        <f>(J3/C3)*100</f>
        <v>1.041560401314668</v>
      </c>
      <c r="M3">
        <f>SUM($L$3:L3)/A3</f>
        <v>1.041560401314668</v>
      </c>
    </row>
    <row r="4" spans="1:13" x14ac:dyDescent="0.3">
      <c r="A4" s="9">
        <v>2</v>
      </c>
      <c r="B4">
        <v>2015</v>
      </c>
      <c r="C4">
        <v>34933.666666666664</v>
      </c>
      <c r="E4">
        <f t="shared" si="0"/>
        <v>37682.551320169456</v>
      </c>
      <c r="F4">
        <f t="shared" si="1"/>
        <v>-798.53814495814368</v>
      </c>
      <c r="G4">
        <v>1.1219363757958187</v>
      </c>
      <c r="H4">
        <f t="shared" ref="H4:H22" si="2">(E4+F4)*G4</f>
        <v>41381.516066601806</v>
      </c>
      <c r="I4">
        <f t="shared" ref="I4:I22" si="3">H4-C4</f>
        <v>6447.8493999351413</v>
      </c>
      <c r="J4">
        <f t="shared" ref="J4:J22" si="4">ABS(I4)</f>
        <v>6447.8493999351413</v>
      </c>
      <c r="K4">
        <f>SUM($J$3:J4)/A4</f>
        <v>3425.1142430195141</v>
      </c>
      <c r="L4">
        <f t="shared" ref="L4:L22" si="5">(J4/C4)*100</f>
        <v>18.457408039813959</v>
      </c>
      <c r="M4">
        <f>SUM($L$3:L4)/A4</f>
        <v>9.7494842205643142</v>
      </c>
    </row>
    <row r="5" spans="1:13" x14ac:dyDescent="0.3">
      <c r="A5" s="9">
        <v>3</v>
      </c>
      <c r="B5">
        <v>2015</v>
      </c>
      <c r="C5">
        <v>36995.666666666664</v>
      </c>
      <c r="D5">
        <f>(C3+C7+2*SUM(C4:C6))/8</f>
        <v>36481.625</v>
      </c>
      <c r="E5">
        <f t="shared" si="0"/>
        <v>36432.054903329416</v>
      </c>
      <c r="F5">
        <f t="shared" si="1"/>
        <v>-888.92979933452307</v>
      </c>
      <c r="G5">
        <v>1.143096484163822</v>
      </c>
      <c r="H5">
        <f t="shared" si="2"/>
        <v>40629.221342571444</v>
      </c>
      <c r="I5">
        <f t="shared" si="3"/>
        <v>3633.5546759047793</v>
      </c>
      <c r="J5">
        <f t="shared" si="4"/>
        <v>3633.5546759047793</v>
      </c>
      <c r="K5">
        <f>SUM($J$3:J5)/A5</f>
        <v>3494.5943873146025</v>
      </c>
      <c r="L5">
        <f t="shared" si="5"/>
        <v>9.8215683167527175</v>
      </c>
      <c r="M5">
        <f>SUM($L$3:L5)/A5</f>
        <v>9.7735122526271159</v>
      </c>
    </row>
    <row r="6" spans="1:13" x14ac:dyDescent="0.3">
      <c r="A6" s="9">
        <v>4</v>
      </c>
      <c r="B6">
        <v>2015</v>
      </c>
      <c r="C6">
        <v>36960</v>
      </c>
      <c r="D6">
        <f t="shared" ref="D6:D20" si="6">(C4+C8+2*SUM(C5:C7))/8</f>
        <v>35579.583333333328</v>
      </c>
      <c r="E6">
        <f t="shared" si="0"/>
        <v>35705.102354066243</v>
      </c>
      <c r="F6">
        <f t="shared" si="1"/>
        <v>-856.53434932025311</v>
      </c>
      <c r="G6">
        <v>0.99454031795726472</v>
      </c>
      <c r="H6">
        <f t="shared" si="2"/>
        <v>34658.305903795437</v>
      </c>
      <c r="I6">
        <f t="shared" si="3"/>
        <v>-2301.6940962045628</v>
      </c>
      <c r="J6">
        <f t="shared" si="4"/>
        <v>2301.6940962045628</v>
      </c>
      <c r="K6">
        <f>SUM($J$3:J6)/A6</f>
        <v>3196.3693145370926</v>
      </c>
      <c r="L6">
        <f t="shared" si="5"/>
        <v>6.2275273165707867</v>
      </c>
      <c r="M6">
        <f>SUM($L$3:L6)/A6</f>
        <v>8.8870160186130338</v>
      </c>
    </row>
    <row r="7" spans="1:13" x14ac:dyDescent="0.3">
      <c r="A7" s="9">
        <v>5</v>
      </c>
      <c r="B7">
        <v>2016</v>
      </c>
      <c r="C7">
        <v>35442</v>
      </c>
      <c r="D7">
        <f t="shared" si="6"/>
        <v>34860.6875</v>
      </c>
      <c r="E7">
        <f t="shared" si="0"/>
        <v>34860.56599644231</v>
      </c>
      <c r="F7">
        <f t="shared" si="1"/>
        <v>-854.13475098098911</v>
      </c>
      <c r="G7">
        <f t="shared" ref="G7:G22" si="7">GAMMA*(C3/E3)+(1-GAMMA)*G3</f>
        <v>1.0135393691311079</v>
      </c>
      <c r="H7">
        <f t="shared" si="2"/>
        <v>34466.856870925265</v>
      </c>
      <c r="I7">
        <f t="shared" si="3"/>
        <v>-975.14312907473504</v>
      </c>
      <c r="J7">
        <f t="shared" si="4"/>
        <v>975.14312907473504</v>
      </c>
      <c r="K7">
        <f>SUM($J$3:J7)/A7</f>
        <v>2752.124077444621</v>
      </c>
      <c r="L7">
        <f t="shared" si="5"/>
        <v>2.7513772616520935</v>
      </c>
      <c r="M7">
        <f>SUM($L$3:L7)/A7</f>
        <v>7.6598882672208459</v>
      </c>
    </row>
    <row r="8" spans="1:13" x14ac:dyDescent="0.3">
      <c r="A8" s="9">
        <v>6</v>
      </c>
      <c r="B8">
        <v>2016</v>
      </c>
      <c r="C8">
        <v>30907.666666666668</v>
      </c>
      <c r="D8">
        <f t="shared" si="6"/>
        <v>34372.625</v>
      </c>
      <c r="E8">
        <f t="shared" si="0"/>
        <v>33409.337107401101</v>
      </c>
      <c r="F8">
        <f t="shared" si="1"/>
        <v>-973.55357859303308</v>
      </c>
      <c r="G8">
        <f t="shared" si="7"/>
        <v>1.1024478907146786</v>
      </c>
      <c r="H8">
        <f t="shared" si="2"/>
        <v>35758.76113501237</v>
      </c>
      <c r="I8">
        <f t="shared" si="3"/>
        <v>4851.0944683457019</v>
      </c>
      <c r="J8">
        <f t="shared" si="4"/>
        <v>4851.0944683457019</v>
      </c>
      <c r="K8">
        <f>SUM($J$3:J8)/A8</f>
        <v>3101.9524759281344</v>
      </c>
      <c r="L8">
        <f t="shared" si="5"/>
        <v>15.695440618872453</v>
      </c>
      <c r="M8">
        <f>SUM($L$3:L8)/A8</f>
        <v>8.9991469924961134</v>
      </c>
    </row>
    <row r="9" spans="1:13" x14ac:dyDescent="0.3">
      <c r="A9" s="9">
        <v>7</v>
      </c>
      <c r="B9">
        <v>2016</v>
      </c>
      <c r="C9">
        <v>35270.5</v>
      </c>
      <c r="D9">
        <f t="shared" si="6"/>
        <v>34107.895833333336</v>
      </c>
      <c r="E9">
        <f t="shared" si="0"/>
        <v>32312.566454175656</v>
      </c>
      <c r="F9">
        <f t="shared" si="1"/>
        <v>-998.19699351951556</v>
      </c>
      <c r="G9">
        <f t="shared" si="7"/>
        <v>1.1303338573602277</v>
      </c>
      <c r="H9">
        <f t="shared" si="2"/>
        <v>35395.692023266769</v>
      </c>
      <c r="I9">
        <f t="shared" si="3"/>
        <v>125.19202326676896</v>
      </c>
      <c r="J9">
        <f t="shared" si="4"/>
        <v>125.19202326676896</v>
      </c>
      <c r="K9">
        <f>SUM($J$3:J9)/A9</f>
        <v>2676.7009826907965</v>
      </c>
      <c r="L9">
        <f t="shared" si="5"/>
        <v>0.35494825212789427</v>
      </c>
      <c r="M9">
        <f>SUM($L$3:L9)/A9</f>
        <v>7.7642614581577973</v>
      </c>
    </row>
    <row r="10" spans="1:13" x14ac:dyDescent="0.3">
      <c r="A10" s="9">
        <v>8</v>
      </c>
      <c r="B10">
        <v>2016</v>
      </c>
      <c r="C10">
        <v>34780.666666666664</v>
      </c>
      <c r="D10">
        <f t="shared" si="6"/>
        <v>34565.041666666664</v>
      </c>
      <c r="E10">
        <f t="shared" si="0"/>
        <v>31665.872150615156</v>
      </c>
      <c r="F10">
        <f t="shared" si="1"/>
        <v>-927.89645552771242</v>
      </c>
      <c r="G10">
        <f t="shared" si="7"/>
        <v>0.99860090329801832</v>
      </c>
      <c r="H10">
        <f t="shared" si="2"/>
        <v>30694.970294666855</v>
      </c>
      <c r="I10">
        <f t="shared" si="3"/>
        <v>-4085.6963719998093</v>
      </c>
      <c r="J10">
        <f t="shared" si="4"/>
        <v>4085.6963719998093</v>
      </c>
      <c r="K10">
        <f>SUM($J$3:J10)/A10</f>
        <v>2852.8254063544232</v>
      </c>
      <c r="L10">
        <f t="shared" si="5"/>
        <v>11.747032945505577</v>
      </c>
      <c r="M10">
        <f>SUM($L$3:L10)/A10</f>
        <v>8.2621078940762693</v>
      </c>
    </row>
    <row r="11" spans="1:13" x14ac:dyDescent="0.3">
      <c r="A11" s="9">
        <v>9</v>
      </c>
      <c r="B11">
        <v>2017</v>
      </c>
      <c r="C11">
        <v>35503.5</v>
      </c>
      <c r="D11">
        <f t="shared" si="6"/>
        <v>35448.0625</v>
      </c>
      <c r="E11">
        <f t="shared" si="0"/>
        <v>31166.016055374035</v>
      </c>
      <c r="F11">
        <f t="shared" si="1"/>
        <v>-842.28838347039414</v>
      </c>
      <c r="G11">
        <f t="shared" si="7"/>
        <v>1.0138533167945614</v>
      </c>
      <c r="H11">
        <f t="shared" si="2"/>
        <v>30743.81187773453</v>
      </c>
      <c r="I11">
        <f t="shared" si="3"/>
        <v>-4759.6881222654702</v>
      </c>
      <c r="J11">
        <f t="shared" si="4"/>
        <v>4759.6881222654702</v>
      </c>
      <c r="K11">
        <f>SUM($J$3:J11)/A11</f>
        <v>3064.6990414556508</v>
      </c>
      <c r="L11">
        <f t="shared" si="5"/>
        <v>13.406250432395314</v>
      </c>
      <c r="M11">
        <f>SUM($L$3:L11)/A11</f>
        <v>8.8336792872228287</v>
      </c>
    </row>
    <row r="12" spans="1:13" x14ac:dyDescent="0.3">
      <c r="A12" s="9">
        <v>10</v>
      </c>
      <c r="B12">
        <v>2017</v>
      </c>
      <c r="C12">
        <v>34503.333333333336</v>
      </c>
      <c r="D12">
        <f t="shared" si="6"/>
        <v>35819.041666666672</v>
      </c>
      <c r="E12">
        <f t="shared" si="0"/>
        <v>30472.220673813295</v>
      </c>
      <c r="F12">
        <f t="shared" si="1"/>
        <v>-812.58978308846326</v>
      </c>
      <c r="G12">
        <f t="shared" si="7"/>
        <v>1.084715163667392</v>
      </c>
      <c r="H12">
        <f t="shared" si="2"/>
        <v>32172.25137594702</v>
      </c>
      <c r="I12">
        <f t="shared" si="3"/>
        <v>-2331.0819573863155</v>
      </c>
      <c r="J12">
        <f t="shared" si="4"/>
        <v>2331.0819573863155</v>
      </c>
      <c r="K12">
        <f>SUM($J$3:J12)/A12</f>
        <v>2991.337333048717</v>
      </c>
      <c r="L12">
        <f t="shared" si="5"/>
        <v>6.7561065328557106</v>
      </c>
      <c r="M12">
        <f>SUM($L$3:L12)/A12</f>
        <v>8.6259220117861179</v>
      </c>
    </row>
    <row r="13" spans="1:13" x14ac:dyDescent="0.3">
      <c r="A13" s="9">
        <v>11</v>
      </c>
      <c r="B13">
        <v>2017</v>
      </c>
      <c r="C13">
        <v>38739</v>
      </c>
      <c r="D13">
        <f t="shared" si="6"/>
        <v>35677.520833333336</v>
      </c>
      <c r="E13">
        <f t="shared" si="0"/>
        <v>30132.68789430584</v>
      </c>
      <c r="F13">
        <f t="shared" si="1"/>
        <v>-717.97838237226176</v>
      </c>
      <c r="G13">
        <f t="shared" si="7"/>
        <v>1.1264545991678006</v>
      </c>
      <c r="H13">
        <f t="shared" si="2"/>
        <v>33134.334812902431</v>
      </c>
      <c r="I13">
        <f t="shared" si="3"/>
        <v>-5604.6651870975693</v>
      </c>
      <c r="J13">
        <f t="shared" si="4"/>
        <v>5604.6651870975693</v>
      </c>
      <c r="K13">
        <f>SUM($J$3:J13)/A13</f>
        <v>3228.9125925077037</v>
      </c>
      <c r="L13">
        <f t="shared" si="5"/>
        <v>14.467759072504633</v>
      </c>
      <c r="M13">
        <f>SUM($L$3:L13)/A13</f>
        <v>9.156998108215074</v>
      </c>
    </row>
    <row r="14" spans="1:13" x14ac:dyDescent="0.3">
      <c r="A14" s="9">
        <v>12</v>
      </c>
      <c r="B14">
        <v>2017</v>
      </c>
      <c r="C14">
        <v>34280</v>
      </c>
      <c r="D14">
        <f t="shared" si="6"/>
        <v>35620.625</v>
      </c>
      <c r="E14">
        <f t="shared" si="0"/>
        <v>29872.085788253637</v>
      </c>
      <c r="F14">
        <f t="shared" si="1"/>
        <v>-626.50312710825006</v>
      </c>
      <c r="G14">
        <f t="shared" si="7"/>
        <v>1.0085772529728889</v>
      </c>
      <c r="H14">
        <f t="shared" si="2"/>
        <v>29496.429421969562</v>
      </c>
      <c r="I14">
        <f t="shared" si="3"/>
        <v>-4783.5705780304379</v>
      </c>
      <c r="J14">
        <f t="shared" si="4"/>
        <v>4783.5705780304379</v>
      </c>
      <c r="K14">
        <f>SUM($J$3:J14)/A14</f>
        <v>3358.467424634598</v>
      </c>
      <c r="L14">
        <f t="shared" si="5"/>
        <v>13.954406587019946</v>
      </c>
      <c r="M14">
        <f>SUM($L$3:L14)/A14</f>
        <v>9.5567821481154791</v>
      </c>
    </row>
    <row r="15" spans="1:13" x14ac:dyDescent="0.3">
      <c r="A15" s="9">
        <v>13</v>
      </c>
      <c r="B15">
        <v>2018</v>
      </c>
      <c r="C15">
        <v>34872</v>
      </c>
      <c r="D15">
        <f t="shared" si="6"/>
        <v>35324.291666666664</v>
      </c>
      <c r="E15">
        <f t="shared" si="0"/>
        <v>29718.578779562908</v>
      </c>
      <c r="F15">
        <f t="shared" si="1"/>
        <v>-531.90390342474586</v>
      </c>
      <c r="G15">
        <f t="shared" si="7"/>
        <v>1.0263853364278921</v>
      </c>
      <c r="H15">
        <f t="shared" si="2"/>
        <v>29956.775111956573</v>
      </c>
      <c r="I15">
        <f t="shared" si="3"/>
        <v>-4915.2248880434272</v>
      </c>
      <c r="J15">
        <f t="shared" si="4"/>
        <v>4915.2248880434272</v>
      </c>
      <c r="K15">
        <f>SUM($J$3:J15)/A15</f>
        <v>3478.2179987429695</v>
      </c>
      <c r="L15">
        <f t="shared" si="5"/>
        <v>14.095047281611112</v>
      </c>
      <c r="M15">
        <f>SUM($L$3:L15)/A15</f>
        <v>9.9058794660766818</v>
      </c>
    </row>
    <row r="16" spans="1:13" x14ac:dyDescent="0.3">
      <c r="A16" s="9">
        <v>14</v>
      </c>
      <c r="B16">
        <v>2018</v>
      </c>
      <c r="C16">
        <v>34679.666666666664</v>
      </c>
      <c r="D16">
        <f t="shared" si="6"/>
        <v>34489.666666666664</v>
      </c>
      <c r="E16">
        <f t="shared" si="0"/>
        <v>29451.168778583979</v>
      </c>
      <c r="F16">
        <f t="shared" si="1"/>
        <v>-479.00512293558251</v>
      </c>
      <c r="G16">
        <f t="shared" si="7"/>
        <v>1.0894724588883302</v>
      </c>
      <c r="H16">
        <f t="shared" si="2"/>
        <v>31564.374377234373</v>
      </c>
      <c r="I16">
        <f t="shared" si="3"/>
        <v>-3115.292289432291</v>
      </c>
      <c r="J16">
        <f t="shared" si="4"/>
        <v>3115.292289432291</v>
      </c>
      <c r="K16">
        <f>SUM($J$3:J16)/A16</f>
        <v>3452.2947337922064</v>
      </c>
      <c r="L16">
        <f t="shared" si="5"/>
        <v>8.9830514213870511</v>
      </c>
      <c r="M16">
        <f>SUM($L$3:L16)/A16</f>
        <v>9.8399631771702794</v>
      </c>
    </row>
    <row r="17" spans="1:13" x14ac:dyDescent="0.3">
      <c r="A17" s="9">
        <v>15</v>
      </c>
      <c r="B17">
        <v>2018</v>
      </c>
      <c r="C17">
        <v>36192</v>
      </c>
      <c r="D17">
        <f t="shared" si="6"/>
        <v>32738.791666666664</v>
      </c>
      <c r="E17">
        <f t="shared" si="0"/>
        <v>29243.096268523972</v>
      </c>
      <c r="F17">
        <f t="shared" si="1"/>
        <v>-424.81860036046731</v>
      </c>
      <c r="G17">
        <f t="shared" si="7"/>
        <v>1.1423705212819959</v>
      </c>
      <c r="H17">
        <f t="shared" si="2"/>
        <v>32921.150882229245</v>
      </c>
      <c r="I17">
        <f t="shared" si="3"/>
        <v>-3270.8491177707547</v>
      </c>
      <c r="J17">
        <f t="shared" si="4"/>
        <v>3270.8491177707547</v>
      </c>
      <c r="K17">
        <f>SUM($J$3:J17)/A17</f>
        <v>3440.1983593907767</v>
      </c>
      <c r="L17">
        <f t="shared" si="5"/>
        <v>9.0374920362808204</v>
      </c>
      <c r="M17">
        <f>SUM($L$3:L17)/A17</f>
        <v>9.7864651011109824</v>
      </c>
    </row>
    <row r="18" spans="1:13" x14ac:dyDescent="0.3">
      <c r="A18" s="9">
        <v>16</v>
      </c>
      <c r="B18">
        <v>2018</v>
      </c>
      <c r="C18">
        <v>30150</v>
      </c>
      <c r="D18">
        <f t="shared" si="6"/>
        <v>29581.416666666664</v>
      </c>
      <c r="E18">
        <f t="shared" si="0"/>
        <v>28885.175836273564</v>
      </c>
      <c r="F18">
        <f t="shared" si="1"/>
        <v>-411.43896673845552</v>
      </c>
      <c r="G18">
        <f t="shared" si="7"/>
        <v>1.0224754916313532</v>
      </c>
      <c r="H18">
        <f t="shared" si="2"/>
        <v>29113.698104259696</v>
      </c>
      <c r="I18">
        <f t="shared" si="3"/>
        <v>-1036.3018957403037</v>
      </c>
      <c r="J18">
        <f t="shared" si="4"/>
        <v>1036.3018957403037</v>
      </c>
      <c r="K18">
        <f>SUM($J$3:J18)/A18</f>
        <v>3289.954830412622</v>
      </c>
      <c r="L18">
        <f t="shared" si="5"/>
        <v>3.4371538830524169</v>
      </c>
      <c r="M18">
        <f>SUM($L$3:L18)/A18</f>
        <v>9.3896331499823216</v>
      </c>
    </row>
    <row r="19" spans="1:13" x14ac:dyDescent="0.3">
      <c r="A19" s="9">
        <v>17</v>
      </c>
      <c r="B19">
        <v>2019</v>
      </c>
      <c r="C19">
        <v>24995</v>
      </c>
      <c r="D19">
        <f t="shared" si="6"/>
        <v>24875.708333333336</v>
      </c>
      <c r="E19">
        <f t="shared" si="0"/>
        <v>28027.21796122297</v>
      </c>
      <c r="F19">
        <f t="shared" si="1"/>
        <v>-500.7427484008831</v>
      </c>
      <c r="G19">
        <f t="shared" si="7"/>
        <v>1.0410875419189036</v>
      </c>
      <c r="H19">
        <f t="shared" si="2"/>
        <v>28657.470417008575</v>
      </c>
      <c r="I19">
        <f t="shared" si="3"/>
        <v>3662.4704170085752</v>
      </c>
      <c r="J19">
        <f t="shared" si="4"/>
        <v>3662.4704170085752</v>
      </c>
      <c r="K19">
        <f>SUM($J$3:J19)/A19</f>
        <v>3311.8675119770896</v>
      </c>
      <c r="L19">
        <f t="shared" si="5"/>
        <v>14.652812230480396</v>
      </c>
      <c r="M19">
        <f>SUM($L$3:L19)/A19</f>
        <v>9.6992319194233847</v>
      </c>
    </row>
    <row r="20" spans="1:13" x14ac:dyDescent="0.3">
      <c r="A20" s="9">
        <v>18</v>
      </c>
      <c r="B20">
        <v>2019</v>
      </c>
      <c r="C20">
        <v>19297.666666666668</v>
      </c>
      <c r="D20">
        <f t="shared" si="6"/>
        <v>21604.25</v>
      </c>
      <c r="E20">
        <f t="shared" si="0"/>
        <v>26530.911145930644</v>
      </c>
      <c r="F20">
        <f t="shared" si="1"/>
        <v>-699.85556177917169</v>
      </c>
      <c r="G20">
        <f t="shared" si="7"/>
        <v>1.0982783212967975</v>
      </c>
      <c r="H20">
        <f t="shared" si="2"/>
        <v>28369.688364286147</v>
      </c>
      <c r="I20">
        <f t="shared" si="3"/>
        <v>9072.0216976194788</v>
      </c>
      <c r="J20">
        <f t="shared" si="4"/>
        <v>9072.0216976194788</v>
      </c>
      <c r="K20">
        <f>SUM($J$3:J20)/A20</f>
        <v>3631.8760778461115</v>
      </c>
      <c r="L20">
        <f t="shared" si="5"/>
        <v>47.010977307892901</v>
      </c>
      <c r="M20">
        <f>SUM($L$3:L20)/A20</f>
        <v>11.772106663227248</v>
      </c>
    </row>
    <row r="21" spans="1:13" x14ac:dyDescent="0.3">
      <c r="A21" s="9">
        <v>19</v>
      </c>
      <c r="B21">
        <v>2019</v>
      </c>
      <c r="C21">
        <v>13928.333333333334</v>
      </c>
      <c r="E21">
        <f t="shared" si="0"/>
        <v>24457.115885291401</v>
      </c>
      <c r="F21">
        <f t="shared" si="1"/>
        <v>-974.64350155118598</v>
      </c>
      <c r="G21">
        <f t="shared" si="7"/>
        <v>1.1518960135426255</v>
      </c>
      <c r="H21">
        <f t="shared" si="2"/>
        <v>27049.366326955151</v>
      </c>
      <c r="I21">
        <f t="shared" si="3"/>
        <v>13121.032993621817</v>
      </c>
      <c r="J21">
        <f t="shared" si="4"/>
        <v>13121.032993621817</v>
      </c>
      <c r="K21">
        <f>SUM($J$3:J21)/A21</f>
        <v>4131.3053892027274</v>
      </c>
      <c r="L21">
        <f t="shared" si="5"/>
        <v>94.203898482387089</v>
      </c>
      <c r="M21">
        <f>SUM($L$3:L21)/A21</f>
        <v>16.1106220221304</v>
      </c>
    </row>
    <row r="22" spans="1:13" x14ac:dyDescent="0.3">
      <c r="A22" s="9">
        <v>20</v>
      </c>
      <c r="B22">
        <v>2019</v>
      </c>
      <c r="C22">
        <v>26242</v>
      </c>
      <c r="E22">
        <f t="shared" si="0"/>
        <v>23695.402903119189</v>
      </c>
      <c r="F22">
        <f t="shared" si="1"/>
        <v>-932.05739767539126</v>
      </c>
      <c r="G22">
        <f t="shared" si="7"/>
        <v>1.0246067427597436</v>
      </c>
      <c r="H22">
        <f t="shared" si="2"/>
        <v>23323.477292647418</v>
      </c>
      <c r="I22">
        <f t="shared" si="3"/>
        <v>-2918.5227073525821</v>
      </c>
      <c r="J22">
        <f t="shared" si="4"/>
        <v>2918.5227073525821</v>
      </c>
      <c r="K22">
        <f>SUM($J$3:J22)/A22</f>
        <v>4070.6662551102199</v>
      </c>
      <c r="L22">
        <f t="shared" si="5"/>
        <v>11.121571173510334</v>
      </c>
      <c r="M22" s="7">
        <f>SUM($L$3:L22)/A22</f>
        <v>15.861169479699395</v>
      </c>
    </row>
    <row r="25" spans="1:13" x14ac:dyDescent="0.3">
      <c r="F25" s="5" t="s">
        <v>6</v>
      </c>
      <c r="G25">
        <v>0.1</v>
      </c>
    </row>
    <row r="26" spans="1:13" x14ac:dyDescent="0.3">
      <c r="F26" s="5" t="s">
        <v>39</v>
      </c>
      <c r="G26">
        <v>0.2</v>
      </c>
    </row>
    <row r="27" spans="1:13" x14ac:dyDescent="0.3">
      <c r="F27" s="5" t="s">
        <v>40</v>
      </c>
      <c r="G27">
        <v>0.1</v>
      </c>
    </row>
  </sheetData>
  <scenarios current="0">
    <scenario name="optimized" count="3" user="Pranav Nair" comment="Created by Pranav Nair on 11/28/2020">
      <inputCells r="G25" val="0.911028339737704"/>
      <inputCells r="G26" val="0"/>
      <inputCells r="G27" val="0.141326371057616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MovingAverage</vt:lpstr>
      <vt:lpstr>ExponentialSmoothing</vt:lpstr>
      <vt:lpstr>Regression</vt:lpstr>
      <vt:lpstr>Static</vt:lpstr>
      <vt:lpstr>Regression2</vt:lpstr>
      <vt:lpstr>Holt</vt:lpstr>
      <vt:lpstr>Regression3</vt:lpstr>
      <vt:lpstr>Winter</vt:lpstr>
      <vt:lpstr>ALPHA</vt:lpstr>
      <vt:lpstr>BETA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Nair</dc:creator>
  <cp:lastModifiedBy>Pranav Nair</cp:lastModifiedBy>
  <dcterms:created xsi:type="dcterms:W3CDTF">2015-06-05T18:17:20Z</dcterms:created>
  <dcterms:modified xsi:type="dcterms:W3CDTF">2020-11-28T16:00:46Z</dcterms:modified>
</cp:coreProperties>
</file>